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887" activeTab="0"/>
  </bookViews>
  <sheets>
    <sheet name="戸建(ヘッダー)10栓以下" sheetId="1" r:id="rId1"/>
    <sheet name="戸建(ﾍｯﾀﾞｰ)11栓以上" sheetId="2" r:id="rId2"/>
    <sheet name="戸建(従来)10栓以下" sheetId="3" r:id="rId3"/>
    <sheet name="戸建(従来)11栓以上" sheetId="4" r:id="rId4"/>
    <sheet name="集合住宅(個別ﾒｰﾀ)" sheetId="5" r:id="rId5"/>
    <sheet name="集合住宅(集合ﾒｰﾀ)" sheetId="6" r:id="rId6"/>
    <sheet name="配管図" sheetId="7" r:id="rId7"/>
  </sheets>
  <definedNames>
    <definedName name="_xlnm.Print_Area" localSheetId="0">'戸建(ヘッダー)10栓以下'!$B$1:$Q$23</definedName>
    <definedName name="_xlnm.Print_Area" localSheetId="1">'戸建(ﾍｯﾀﾞｰ)11栓以上'!$B$1:$Q$23</definedName>
    <definedName name="_xlnm.Print_Area" localSheetId="2">'戸建(従来)10栓以下'!$B$1:$Q$25</definedName>
    <definedName name="_xlnm.Print_Area" localSheetId="3">'戸建(従来)11栓以上'!$B$1:$Q$29</definedName>
    <definedName name="_xlnm.Print_Area" localSheetId="4">'集合住宅(個別ﾒｰﾀ)'!$B$1:$Q$25</definedName>
    <definedName name="_xlnm.Print_Area" localSheetId="5">'集合住宅(集合ﾒｰﾀ)'!$B$1:$Q$27</definedName>
  </definedNames>
  <calcPr fullCalcOnLoad="1"/>
</workbook>
</file>

<file path=xl/sharedStrings.xml><?xml version="1.0" encoding="utf-8"?>
<sst xmlns="http://schemas.openxmlformats.org/spreadsheetml/2006/main" count="1131" uniqueCount="177">
  <si>
    <t>設計条件</t>
  </si>
  <si>
    <t>同時使用栓数</t>
  </si>
  <si>
    <t>配水栓数</t>
  </si>
  <si>
    <t>栓</t>
  </si>
  <si>
    <t xml:space="preserve"> 栓</t>
  </si>
  <si>
    <t>給水用具</t>
  </si>
  <si>
    <t>口径</t>
  </si>
  <si>
    <t>使用水量</t>
  </si>
  <si>
    <t>L/min</t>
  </si>
  <si>
    <t>Ａ</t>
  </si>
  <si>
    <t>Ｂ</t>
  </si>
  <si>
    <t>Ｃ</t>
  </si>
  <si>
    <t>２Ｆ・大便器</t>
  </si>
  <si>
    <t>流量</t>
  </si>
  <si>
    <t>動水勾配</t>
  </si>
  <si>
    <t>延長</t>
  </si>
  <si>
    <t>損失水頭</t>
  </si>
  <si>
    <t>高さ</t>
  </si>
  <si>
    <t>所用水頭</t>
  </si>
  <si>
    <t>副弁付止水栓</t>
  </si>
  <si>
    <t>量　水　器</t>
  </si>
  <si>
    <t>I=</t>
  </si>
  <si>
    <t>合計</t>
  </si>
  <si>
    <t>給水栓</t>
  </si>
  <si>
    <t>給水管</t>
  </si>
  <si>
    <t>区　間</t>
  </si>
  <si>
    <t>給水用具の損失水頭</t>
  </si>
  <si>
    <t>給水管</t>
  </si>
  <si>
    <t>洗面器</t>
  </si>
  <si>
    <t>台所流し</t>
  </si>
  <si>
    <t>Ｄ</t>
  </si>
  <si>
    <t>mm</t>
  </si>
  <si>
    <t>％</t>
  </si>
  <si>
    <t>ｍ</t>
  </si>
  <si>
    <t>量水器の損失水頭</t>
  </si>
  <si>
    <t>φ13</t>
  </si>
  <si>
    <t>φ20</t>
  </si>
  <si>
    <t>φ25</t>
  </si>
  <si>
    <t>分水栓の損失水頭</t>
  </si>
  <si>
    <t>V=</t>
  </si>
  <si>
    <t>分　水　栓</t>
  </si>
  <si>
    <t>配水管の水圧・・・0.2Mpa　(=2.04ｋｇｆ/cm2)</t>
  </si>
  <si>
    <t>2.04ｋｇｆ/cm2</t>
  </si>
  <si>
    <t>のみ入力する</t>
  </si>
  <si>
    <t>備考</t>
  </si>
  <si>
    <t>給水栓・止水栓の損失水頭</t>
  </si>
  <si>
    <t>表１</t>
  </si>
  <si>
    <t>表３</t>
  </si>
  <si>
    <t>表２</t>
  </si>
  <si>
    <t>表３より</t>
  </si>
  <si>
    <t>表２より</t>
  </si>
  <si>
    <t>表１より</t>
  </si>
  <si>
    <t>共有管</t>
  </si>
  <si>
    <t>量水器適正範囲</t>
  </si>
  <si>
    <t>φ13</t>
  </si>
  <si>
    <t>φ20</t>
  </si>
  <si>
    <t>φ25</t>
  </si>
  <si>
    <t>φ40</t>
  </si>
  <si>
    <t>φ50</t>
  </si>
  <si>
    <t>L/min</t>
  </si>
  <si>
    <t>φ75</t>
  </si>
  <si>
    <t>h23年以降</t>
  </si>
  <si>
    <t>同時使用戸数率</t>
  </si>
  <si>
    <t>1～3戸</t>
  </si>
  <si>
    <t>4～10戸</t>
  </si>
  <si>
    <t>11～20戸</t>
  </si>
  <si>
    <t>注)給湯器は1栓とする。</t>
  </si>
  <si>
    <t>φ40</t>
  </si>
  <si>
    <t>8軒</t>
  </si>
  <si>
    <t>6軒</t>
  </si>
  <si>
    <t>3軒</t>
  </si>
  <si>
    <t>4軒</t>
  </si>
  <si>
    <t>住宅戸数</t>
  </si>
  <si>
    <t>戸</t>
  </si>
  <si>
    <t>2～4栓</t>
  </si>
  <si>
    <t>同時使用水栓数</t>
  </si>
  <si>
    <t>5～10栓</t>
  </si>
  <si>
    <t>11～16栓</t>
  </si>
  <si>
    <t>16～20栓</t>
  </si>
  <si>
    <t>口径計算参考数値表</t>
  </si>
  <si>
    <t>口径計算参考数値表</t>
  </si>
  <si>
    <t>戸で計算</t>
  </si>
  <si>
    <t>分水栓の損失水頭</t>
  </si>
  <si>
    <t>給水栓・止水栓の損失水頭</t>
  </si>
  <si>
    <t>４戸集合住宅配管図(個別メータ)</t>
  </si>
  <si>
    <t>４戸集合住宅配管図(集合メータ)</t>
  </si>
  <si>
    <t>同時使用水量</t>
  </si>
  <si>
    <t>末端給水器具は延長、水量、高さで一番条件の悪い水栓を選ぶこと。</t>
  </si>
  <si>
    <t>φ50</t>
  </si>
  <si>
    <t>φ20</t>
  </si>
  <si>
    <t>φ13</t>
  </si>
  <si>
    <t>回　答(副弁)</t>
  </si>
  <si>
    <t>回　答(共用仕切弁)</t>
  </si>
  <si>
    <t>回　答(共用分水栓)</t>
  </si>
  <si>
    <t>回　答(量水器)</t>
  </si>
  <si>
    <t>回　答(分水栓)</t>
  </si>
  <si>
    <t>10戸</t>
  </si>
  <si>
    <t>9戸</t>
  </si>
  <si>
    <t>8戸</t>
  </si>
  <si>
    <t>7戸</t>
  </si>
  <si>
    <t>6戸</t>
  </si>
  <si>
    <t>5戸</t>
  </si>
  <si>
    <t>4戸</t>
  </si>
  <si>
    <t>3戸</t>
  </si>
  <si>
    <t>2戸</t>
  </si>
  <si>
    <t>給水管口径計算書</t>
  </si>
  <si>
    <t>量水器適正範囲内</t>
  </si>
  <si>
    <t>流速</t>
  </si>
  <si>
    <t>損失水頭  2.04ｋｇｆ/cm2</t>
  </si>
  <si>
    <t>仕　切　弁</t>
  </si>
  <si>
    <t>止　水　栓</t>
  </si>
  <si>
    <t>回　答(量水器-私設)</t>
  </si>
  <si>
    <t>回　答(量水器-集合)</t>
  </si>
  <si>
    <t>私設</t>
  </si>
  <si>
    <t>集合</t>
  </si>
  <si>
    <r>
      <t>φ4</t>
    </r>
    <r>
      <rPr>
        <sz val="11"/>
        <rFont val="ＭＳ Ｐゴシック"/>
        <family val="3"/>
      </rPr>
      <t>0</t>
    </r>
  </si>
  <si>
    <r>
      <t>φ5</t>
    </r>
    <r>
      <rPr>
        <sz val="11"/>
        <rFont val="ＭＳ Ｐゴシック"/>
        <family val="3"/>
      </rPr>
      <t>0</t>
    </r>
  </si>
  <si>
    <t>回　答(共用仕切弁+二次側)</t>
  </si>
  <si>
    <t>私設量水器</t>
  </si>
  <si>
    <t>戸建(従来)10栓以下　配管図</t>
  </si>
  <si>
    <t>戸建(従来)11栓以上　配管図</t>
  </si>
  <si>
    <t>小計</t>
  </si>
  <si>
    <t>２Ｆ・台所流し</t>
  </si>
  <si>
    <t>ア～イ</t>
  </si>
  <si>
    <t>ウ～エ</t>
  </si>
  <si>
    <t>イ～ウ</t>
  </si>
  <si>
    <t>ウ～エ</t>
  </si>
  <si>
    <t>エ～オ</t>
  </si>
  <si>
    <t>ア～イ</t>
  </si>
  <si>
    <t>給水管</t>
  </si>
  <si>
    <t>A～ア</t>
  </si>
  <si>
    <t>洗濯機</t>
  </si>
  <si>
    <t>イ～ウ</t>
  </si>
  <si>
    <t>A</t>
  </si>
  <si>
    <t>.</t>
  </si>
  <si>
    <t>２F・大便器</t>
  </si>
  <si>
    <t>手洗い</t>
  </si>
  <si>
    <t>加算する</t>
  </si>
  <si>
    <t>A</t>
  </si>
  <si>
    <t>L/min</t>
  </si>
  <si>
    <t>mm</t>
  </si>
  <si>
    <t>％</t>
  </si>
  <si>
    <t>ｍ</t>
  </si>
  <si>
    <t>Ｃ</t>
  </si>
  <si>
    <t>Ｃ～ア</t>
  </si>
  <si>
    <t>ア～イ</t>
  </si>
  <si>
    <t>D-ウ＞ので加算しない</t>
  </si>
  <si>
    <t>Ｄ</t>
  </si>
  <si>
    <t>Ｄ～イ</t>
  </si>
  <si>
    <t>イ～ウ</t>
  </si>
  <si>
    <t>Ａ</t>
  </si>
  <si>
    <t>Ａ～ウ</t>
  </si>
  <si>
    <t>Ｄ-ウ＞ので加算しない</t>
  </si>
  <si>
    <t>ウ～オ</t>
  </si>
  <si>
    <t>オ～カ</t>
  </si>
  <si>
    <t>給水管</t>
  </si>
  <si>
    <t>カ～キ</t>
  </si>
  <si>
    <t>2.04ｋｇｆ/cm2</t>
  </si>
  <si>
    <t>Ａ</t>
  </si>
  <si>
    <t>Ａ～ア</t>
  </si>
  <si>
    <t>イ～ウ</t>
  </si>
  <si>
    <t>ウ～エ</t>
  </si>
  <si>
    <t>エ～オ</t>
  </si>
  <si>
    <t>L/min</t>
  </si>
  <si>
    <t>L/min</t>
  </si>
  <si>
    <t>Ｂ</t>
  </si>
  <si>
    <t>V=</t>
  </si>
  <si>
    <t>I=</t>
  </si>
  <si>
    <t>Ｄ</t>
  </si>
  <si>
    <t>Ａ</t>
  </si>
  <si>
    <t>Ｂ</t>
  </si>
  <si>
    <t>Ｃ</t>
  </si>
  <si>
    <t>Ａ～イ</t>
  </si>
  <si>
    <t>C</t>
  </si>
  <si>
    <t>C～ア</t>
  </si>
  <si>
    <t>ア～イ</t>
  </si>
  <si>
    <t>A-イ＞ので加算しない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</si>
</sst>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_ "/>
    <numFmt numFmtId="179" formatCode="0.0;[Red]0.0"/>
    <numFmt numFmtId="180" formatCode="0.00_ "/>
    <numFmt numFmtId="181" formatCode="0.0_);[Red]\(0.0\)"/>
    <numFmt numFmtId="182" formatCode="0.0;&quot;△ &quot;0.0"/>
    <numFmt numFmtId="183" formatCode="0.00;&quot;△ &quot;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0"/>
      <color indexed="4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2"/>
      <color indexed="10"/>
      <name val="ＭＳ Ｐゴシック"/>
      <family val="3"/>
    </font>
    <font>
      <sz val="10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>
        <color indexed="10"/>
      </left>
      <right style="hair">
        <color indexed="8"/>
      </right>
      <top style="thin">
        <color indexed="8"/>
      </top>
      <bottom style="medium">
        <color indexed="10"/>
      </bottom>
    </border>
    <border>
      <left style="thin"/>
      <right style="medium">
        <color indexed="10"/>
      </right>
      <top style="hair"/>
      <bottom style="thin"/>
    </border>
    <border>
      <left>
        <color indexed="63"/>
      </left>
      <right style="medium">
        <color indexed="10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 style="hair">
        <color indexed="8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 style="medium">
        <color indexed="10"/>
      </top>
      <bottom style="medium">
        <color indexed="10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12"/>
      </right>
      <top>
        <color indexed="63"/>
      </top>
      <bottom style="medium">
        <color indexed="10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 style="hair">
        <color indexed="8"/>
      </right>
      <top>
        <color indexed="63"/>
      </top>
      <bottom style="medium">
        <color indexed="10"/>
      </bottom>
    </border>
    <border>
      <left style="hair">
        <color indexed="8"/>
      </left>
      <right style="medium">
        <color indexed="12"/>
      </right>
      <top style="medium">
        <color indexed="10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10"/>
      </top>
      <bottom style="hair">
        <color indexed="8"/>
      </bottom>
    </border>
    <border>
      <left style="hair">
        <color indexed="8"/>
      </left>
      <right style="medium">
        <color indexed="12"/>
      </right>
      <top style="medium">
        <color indexed="10"/>
      </top>
      <bottom>
        <color indexed="63"/>
      </bottom>
    </border>
    <border>
      <left style="medium">
        <color indexed="10"/>
      </left>
      <right style="hair">
        <color indexed="8"/>
      </right>
      <top style="hair">
        <color indexed="8"/>
      </top>
      <bottom style="medium">
        <color indexed="10"/>
      </bottom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theme="1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10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medium">
        <color indexed="10"/>
      </left>
      <right>
        <color indexed="63"/>
      </right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medium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5" xfId="0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25" xfId="0" applyBorder="1" applyAlignment="1">
      <alignment vertical="center"/>
    </xf>
    <xf numFmtId="177" fontId="5" fillId="0" borderId="26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77" fontId="5" fillId="0" borderId="14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0" fillId="34" borderId="51" xfId="0" applyFill="1" applyBorder="1" applyAlignment="1">
      <alignment vertical="center"/>
    </xf>
    <xf numFmtId="0" fontId="0" fillId="35" borderId="52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53" xfId="0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0" fillId="35" borderId="54" xfId="0" applyFill="1" applyBorder="1" applyAlignment="1">
      <alignment vertical="center"/>
    </xf>
    <xf numFmtId="0" fontId="0" fillId="35" borderId="55" xfId="0" applyFill="1" applyBorder="1" applyAlignment="1">
      <alignment vertical="center"/>
    </xf>
    <xf numFmtId="0" fontId="0" fillId="35" borderId="56" xfId="0" applyFill="1" applyBorder="1" applyAlignment="1">
      <alignment vertical="center"/>
    </xf>
    <xf numFmtId="0" fontId="0" fillId="34" borderId="57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36" borderId="2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54" xfId="0" applyFill="1" applyBorder="1" applyAlignment="1">
      <alignment vertical="center"/>
    </xf>
    <xf numFmtId="0" fontId="0" fillId="36" borderId="54" xfId="0" applyFill="1" applyBorder="1" applyAlignment="1">
      <alignment horizontal="center" vertical="center"/>
    </xf>
    <xf numFmtId="0" fontId="0" fillId="36" borderId="43" xfId="0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/>
    </xf>
    <xf numFmtId="0" fontId="0" fillId="34" borderId="64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4" borderId="65" xfId="0" applyFill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6" borderId="55" xfId="0" applyFill="1" applyBorder="1" applyAlignment="1">
      <alignment horizontal="center" vertical="center"/>
    </xf>
    <xf numFmtId="0" fontId="0" fillId="36" borderId="29" xfId="0" applyFill="1" applyBorder="1" applyAlignment="1">
      <alignment vertical="center"/>
    </xf>
    <xf numFmtId="0" fontId="0" fillId="36" borderId="66" xfId="0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0" fillId="36" borderId="68" xfId="0" applyFill="1" applyBorder="1" applyAlignment="1">
      <alignment horizontal="center" vertical="center"/>
    </xf>
    <xf numFmtId="0" fontId="0" fillId="34" borderId="69" xfId="0" applyFill="1" applyBorder="1" applyAlignment="1">
      <alignment vertical="center"/>
    </xf>
    <xf numFmtId="0" fontId="0" fillId="34" borderId="70" xfId="0" applyFill="1" applyBorder="1" applyAlignment="1">
      <alignment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0" fillId="36" borderId="11" xfId="0" applyFont="1" applyFill="1" applyBorder="1" applyAlignment="1">
      <alignment vertical="center"/>
    </xf>
    <xf numFmtId="0" fontId="0" fillId="36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/>
    </xf>
    <xf numFmtId="0" fontId="0" fillId="37" borderId="71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177" fontId="0" fillId="37" borderId="16" xfId="0" applyNumberFormat="1" applyFill="1" applyBorder="1" applyAlignment="1">
      <alignment vertical="center"/>
    </xf>
    <xf numFmtId="177" fontId="0" fillId="37" borderId="25" xfId="0" applyNumberFormat="1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26" xfId="0" applyFill="1" applyBorder="1" applyAlignment="1">
      <alignment vertical="center"/>
    </xf>
    <xf numFmtId="0" fontId="0" fillId="37" borderId="24" xfId="0" applyFill="1" applyBorder="1" applyAlignment="1">
      <alignment vertical="center"/>
    </xf>
    <xf numFmtId="0" fontId="0" fillId="37" borderId="18" xfId="0" applyFill="1" applyBorder="1" applyAlignment="1">
      <alignment vertical="center"/>
    </xf>
    <xf numFmtId="0" fontId="0" fillId="37" borderId="72" xfId="0" applyFill="1" applyBorder="1" applyAlignment="1">
      <alignment vertical="center"/>
    </xf>
    <xf numFmtId="0" fontId="0" fillId="37" borderId="46" xfId="0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73" xfId="0" applyFill="1" applyBorder="1" applyAlignment="1">
      <alignment vertical="center"/>
    </xf>
    <xf numFmtId="177" fontId="0" fillId="0" borderId="25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37" borderId="71" xfId="0" applyFont="1" applyFill="1" applyBorder="1" applyAlignment="1">
      <alignment vertical="center"/>
    </xf>
    <xf numFmtId="0" fontId="5" fillId="37" borderId="16" xfId="0" applyFont="1" applyFill="1" applyBorder="1" applyAlignment="1">
      <alignment vertical="center"/>
    </xf>
    <xf numFmtId="0" fontId="5" fillId="37" borderId="14" xfId="0" applyFont="1" applyFill="1" applyBorder="1" applyAlignment="1">
      <alignment vertical="center"/>
    </xf>
    <xf numFmtId="0" fontId="5" fillId="37" borderId="26" xfId="0" applyFont="1" applyFill="1" applyBorder="1" applyAlignment="1">
      <alignment vertical="center"/>
    </xf>
    <xf numFmtId="177" fontId="5" fillId="37" borderId="24" xfId="0" applyNumberFormat="1" applyFont="1" applyFill="1" applyBorder="1" applyAlignment="1">
      <alignment vertical="center"/>
    </xf>
    <xf numFmtId="0" fontId="5" fillId="37" borderId="18" xfId="0" applyFont="1" applyFill="1" applyBorder="1" applyAlignment="1">
      <alignment vertical="center"/>
    </xf>
    <xf numFmtId="0" fontId="5" fillId="37" borderId="72" xfId="0" applyFont="1" applyFill="1" applyBorder="1" applyAlignment="1">
      <alignment vertical="center"/>
    </xf>
    <xf numFmtId="0" fontId="5" fillId="37" borderId="46" xfId="0" applyFont="1" applyFill="1" applyBorder="1" applyAlignment="1">
      <alignment vertical="center"/>
    </xf>
    <xf numFmtId="177" fontId="5" fillId="37" borderId="26" xfId="0" applyNumberFormat="1" applyFont="1" applyFill="1" applyBorder="1" applyAlignment="1">
      <alignment vertical="center"/>
    </xf>
    <xf numFmtId="0" fontId="0" fillId="0" borderId="74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7" fontId="5" fillId="37" borderId="14" xfId="0" applyNumberFormat="1" applyFont="1" applyFill="1" applyBorder="1" applyAlignment="1">
      <alignment vertical="center"/>
    </xf>
    <xf numFmtId="0" fontId="0" fillId="37" borderId="47" xfId="0" applyFill="1" applyBorder="1" applyAlignment="1">
      <alignment vertical="center"/>
    </xf>
    <xf numFmtId="0" fontId="5" fillId="37" borderId="48" xfId="0" applyFont="1" applyFill="1" applyBorder="1" applyAlignment="1">
      <alignment vertical="center"/>
    </xf>
    <xf numFmtId="0" fontId="0" fillId="37" borderId="48" xfId="0" applyFill="1" applyBorder="1" applyAlignment="1">
      <alignment vertical="center"/>
    </xf>
    <xf numFmtId="0" fontId="5" fillId="37" borderId="75" xfId="0" applyFont="1" applyFill="1" applyBorder="1" applyAlignment="1">
      <alignment vertical="center"/>
    </xf>
    <xf numFmtId="0" fontId="5" fillId="37" borderId="47" xfId="0" applyFont="1" applyFill="1" applyBorder="1" applyAlignment="1">
      <alignment vertical="center"/>
    </xf>
    <xf numFmtId="177" fontId="5" fillId="37" borderId="75" xfId="0" applyNumberFormat="1" applyFont="1" applyFill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76" xfId="0" applyFill="1" applyBorder="1" applyAlignment="1">
      <alignment vertical="center"/>
    </xf>
    <xf numFmtId="0" fontId="0" fillId="34" borderId="77" xfId="0" applyFill="1" applyBorder="1" applyAlignment="1">
      <alignment vertical="center"/>
    </xf>
    <xf numFmtId="0" fontId="0" fillId="34" borderId="78" xfId="0" applyFill="1" applyBorder="1" applyAlignment="1">
      <alignment vertical="center"/>
    </xf>
    <xf numFmtId="0" fontId="0" fillId="34" borderId="79" xfId="0" applyFill="1" applyBorder="1" applyAlignment="1">
      <alignment vertical="center"/>
    </xf>
    <xf numFmtId="0" fontId="0" fillId="34" borderId="80" xfId="0" applyFill="1" applyBorder="1" applyAlignment="1">
      <alignment vertical="center"/>
    </xf>
    <xf numFmtId="0" fontId="0" fillId="34" borderId="81" xfId="0" applyFill="1" applyBorder="1" applyAlignment="1">
      <alignment vertical="center"/>
    </xf>
    <xf numFmtId="0" fontId="0" fillId="34" borderId="82" xfId="0" applyFill="1" applyBorder="1" applyAlignment="1">
      <alignment vertical="center"/>
    </xf>
    <xf numFmtId="0" fontId="0" fillId="34" borderId="83" xfId="0" applyFill="1" applyBorder="1" applyAlignment="1">
      <alignment horizontal="center" vertical="center"/>
    </xf>
    <xf numFmtId="0" fontId="0" fillId="34" borderId="84" xfId="0" applyFill="1" applyBorder="1" applyAlignment="1">
      <alignment vertical="center"/>
    </xf>
    <xf numFmtId="0" fontId="0" fillId="34" borderId="85" xfId="0" applyFill="1" applyBorder="1" applyAlignment="1">
      <alignment vertical="center"/>
    </xf>
    <xf numFmtId="0" fontId="1" fillId="34" borderId="45" xfId="0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0" fillId="34" borderId="87" xfId="0" applyFill="1" applyBorder="1" applyAlignment="1">
      <alignment vertical="center"/>
    </xf>
    <xf numFmtId="0" fontId="0" fillId="34" borderId="88" xfId="0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37" borderId="89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0" fillId="0" borderId="9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76" xfId="0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4" borderId="56" xfId="0" applyFill="1" applyBorder="1" applyAlignment="1">
      <alignment horizontal="center" vertical="center"/>
    </xf>
    <xf numFmtId="0" fontId="0" fillId="34" borderId="54" xfId="0" applyFill="1" applyBorder="1" applyAlignment="1">
      <alignment vertical="center"/>
    </xf>
    <xf numFmtId="179" fontId="0" fillId="34" borderId="47" xfId="0" applyNumberFormat="1" applyFill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34" borderId="82" xfId="0" applyNumberFormat="1" applyFill="1" applyBorder="1" applyAlignment="1">
      <alignment vertical="center"/>
    </xf>
    <xf numFmtId="179" fontId="0" fillId="34" borderId="49" xfId="0" applyNumberFormat="1" applyFill="1" applyBorder="1" applyAlignment="1">
      <alignment vertical="center"/>
    </xf>
    <xf numFmtId="179" fontId="0" fillId="34" borderId="85" xfId="0" applyNumberFormat="1" applyFill="1" applyBorder="1" applyAlignment="1">
      <alignment vertical="center"/>
    </xf>
    <xf numFmtId="179" fontId="0" fillId="34" borderId="84" xfId="0" applyNumberFormat="1" applyFill="1" applyBorder="1" applyAlignment="1">
      <alignment vertical="center"/>
    </xf>
    <xf numFmtId="179" fontId="0" fillId="34" borderId="16" xfId="0" applyNumberFormat="1" applyFill="1" applyBorder="1" applyAlignment="1">
      <alignment vertical="center"/>
    </xf>
    <xf numFmtId="179" fontId="0" fillId="34" borderId="17" xfId="0" applyNumberFormat="1" applyFill="1" applyBorder="1" applyAlignment="1">
      <alignment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3" fontId="0" fillId="34" borderId="47" xfId="0" applyNumberFormat="1" applyFill="1" applyBorder="1" applyAlignment="1">
      <alignment vertical="center"/>
    </xf>
    <xf numFmtId="183" fontId="0" fillId="34" borderId="48" xfId="0" applyNumberFormat="1" applyFill="1" applyBorder="1" applyAlignment="1">
      <alignment vertical="center"/>
    </xf>
    <xf numFmtId="183" fontId="0" fillId="34" borderId="64" xfId="0" applyNumberFormat="1" applyFill="1" applyBorder="1" applyAlignment="1">
      <alignment vertical="center"/>
    </xf>
    <xf numFmtId="183" fontId="0" fillId="34" borderId="65" xfId="0" applyNumberFormat="1" applyFill="1" applyBorder="1" applyAlignment="1">
      <alignment vertical="center"/>
    </xf>
    <xf numFmtId="183" fontId="0" fillId="34" borderId="45" xfId="0" applyNumberFormat="1" applyFill="1" applyBorder="1" applyAlignment="1">
      <alignment vertical="center"/>
    </xf>
    <xf numFmtId="183" fontId="0" fillId="34" borderId="28" xfId="0" applyNumberFormat="1" applyFill="1" applyBorder="1" applyAlignment="1">
      <alignment vertical="center"/>
    </xf>
    <xf numFmtId="183" fontId="0" fillId="34" borderId="18" xfId="0" applyNumberFormat="1" applyFill="1" applyBorder="1" applyAlignment="1">
      <alignment vertical="center"/>
    </xf>
    <xf numFmtId="183" fontId="0" fillId="34" borderId="46" xfId="0" applyNumberFormat="1" applyFill="1" applyBorder="1" applyAlignment="1">
      <alignment vertical="center"/>
    </xf>
    <xf numFmtId="183" fontId="0" fillId="33" borderId="11" xfId="0" applyNumberFormat="1" applyFill="1" applyBorder="1" applyAlignment="1">
      <alignment vertical="center"/>
    </xf>
    <xf numFmtId="0" fontId="0" fillId="0" borderId="91" xfId="0" applyBorder="1" applyAlignment="1">
      <alignment vertical="center"/>
    </xf>
    <xf numFmtId="179" fontId="0" fillId="34" borderId="64" xfId="0" applyNumberFormat="1" applyFill="1" applyBorder="1" applyAlignment="1">
      <alignment vertical="center"/>
    </xf>
    <xf numFmtId="0" fontId="0" fillId="34" borderId="92" xfId="0" applyFill="1" applyBorder="1" applyAlignment="1">
      <alignment vertical="center"/>
    </xf>
    <xf numFmtId="179" fontId="0" fillId="34" borderId="76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93" xfId="0" applyBorder="1" applyAlignment="1">
      <alignment horizontal="center" vertical="center" textRotation="255"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96" xfId="0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0" fillId="34" borderId="93" xfId="0" applyFill="1" applyBorder="1" applyAlignment="1">
      <alignment horizontal="center" vertical="center"/>
    </xf>
    <xf numFmtId="0" fontId="0" fillId="34" borderId="95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76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179" fontId="3" fillId="34" borderId="99" xfId="0" applyNumberFormat="1" applyFont="1" applyFill="1" applyBorder="1" applyAlignment="1">
      <alignment horizontal="center" vertical="center"/>
    </xf>
    <xf numFmtId="179" fontId="3" fillId="34" borderId="98" xfId="0" applyNumberFormat="1" applyFont="1" applyFill="1" applyBorder="1" applyAlignment="1">
      <alignment horizontal="center" vertical="center"/>
    </xf>
    <xf numFmtId="0" fontId="3" fillId="34" borderId="99" xfId="0" applyFont="1" applyFill="1" applyBorder="1" applyAlignment="1">
      <alignment horizontal="center" vertical="center"/>
    </xf>
    <xf numFmtId="0" fontId="0" fillId="34" borderId="100" xfId="0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02" xfId="0" applyFill="1" applyBorder="1" applyAlignment="1">
      <alignment horizontal="center" vertical="center"/>
    </xf>
    <xf numFmtId="0" fontId="0" fillId="34" borderId="103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0" fontId="0" fillId="34" borderId="105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66" xfId="0" applyFill="1" applyBorder="1" applyAlignment="1">
      <alignment horizontal="right" vertical="center"/>
    </xf>
    <xf numFmtId="0" fontId="0" fillId="36" borderId="68" xfId="0" applyFill="1" applyBorder="1" applyAlignment="1">
      <alignment horizontal="right" vertical="center"/>
    </xf>
    <xf numFmtId="0" fontId="0" fillId="36" borderId="12" xfId="0" applyFill="1" applyBorder="1" applyAlignment="1">
      <alignment horizontal="right" vertical="center"/>
    </xf>
    <xf numFmtId="0" fontId="0" fillId="36" borderId="29" xfId="0" applyFill="1" applyBorder="1" applyAlignment="1">
      <alignment horizontal="right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34" borderId="108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/>
    </xf>
    <xf numFmtId="0" fontId="0" fillId="34" borderId="67" xfId="0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0</xdr:rowOff>
    </xdr:from>
    <xdr:to>
      <xdr:col>5</xdr:col>
      <xdr:colOff>266700</xdr:colOff>
      <xdr:row>21</xdr:row>
      <xdr:rowOff>19050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28625" y="3305175"/>
          <a:ext cx="2276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注）ﾀﾝｸﾚｽ大便器がある場合は、必ず同時使用水栓に含めて計算すること、その場合の使用水量は機種に応じて算出する。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0</xdr:rowOff>
    </xdr:from>
    <xdr:to>
      <xdr:col>5</xdr:col>
      <xdr:colOff>266700</xdr:colOff>
      <xdr:row>21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3305175"/>
          <a:ext cx="2276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注）ﾀﾝｸﾚｽ大便器がある場合は、必ず同時使用水栓に含めて計算すること、その場合の使用水量は機種に応じて算出する。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18</xdr:row>
      <xdr:rowOff>0</xdr:rowOff>
    </xdr:from>
    <xdr:to>
      <xdr:col>5</xdr:col>
      <xdr:colOff>266700</xdr:colOff>
      <xdr:row>22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3495675"/>
          <a:ext cx="2276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注）ﾀﾝｸﾚｽ大便器がある場合は、必ず同時使用水栓に含めて計算すること、その場合の使用水量は機種に応じて算出する。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23</xdr:row>
      <xdr:rowOff>0</xdr:rowOff>
    </xdr:from>
    <xdr:to>
      <xdr:col>5</xdr:col>
      <xdr:colOff>266700</xdr:colOff>
      <xdr:row>27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4448175"/>
          <a:ext cx="2276475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注）ﾀﾝｸﾚｽ大便器がある場合は、必ず同時使用水栓に含めて計算すること、その場合の使用水量は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機種に応じて算出する。</a:t>
          </a:r>
        </a:p>
      </xdr:txBody>
    </xdr:sp>
    <xdr:clientData/>
  </xdr:twoCellAnchor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3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27</xdr:col>
      <xdr:colOff>95250</xdr:colOff>
      <xdr:row>12</xdr:row>
      <xdr:rowOff>28575</xdr:rowOff>
    </xdr:from>
    <xdr:ext cx="76200" cy="190500"/>
    <xdr:sp fLocksText="0">
      <xdr:nvSpPr>
        <xdr:cNvPr id="2" name="Text Box 18"/>
        <xdr:cNvSpPr txBox="1">
          <a:spLocks noChangeArrowheads="1"/>
        </xdr:cNvSpPr>
      </xdr:nvSpPr>
      <xdr:spPr>
        <a:xfrm>
          <a:off x="15182850" y="2381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790575</xdr:colOff>
      <xdr:row>20</xdr:row>
      <xdr:rowOff>28575</xdr:rowOff>
    </xdr:from>
    <xdr:to>
      <xdr:col>5</xdr:col>
      <xdr:colOff>276225</xdr:colOff>
      <xdr:row>23</xdr:row>
      <xdr:rowOff>95250</xdr:rowOff>
    </xdr:to>
    <xdr:sp>
      <xdr:nvSpPr>
        <xdr:cNvPr id="3" name="AutoShape 44"/>
        <xdr:cNvSpPr>
          <a:spLocks/>
        </xdr:cNvSpPr>
      </xdr:nvSpPr>
      <xdr:spPr>
        <a:xfrm>
          <a:off x="1381125" y="3905250"/>
          <a:ext cx="1333500" cy="638175"/>
        </a:xfrm>
        <a:prstGeom prst="borderCallout1">
          <a:avLst>
            <a:gd name="adj1" fmla="val 176962"/>
            <a:gd name="adj2" fmla="val -52666"/>
            <a:gd name="adj3" fmla="val 44046"/>
            <a:gd name="adj4" fmla="val 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arrow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戸の場合は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同時使用戸数率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施工基準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6-5)</a:t>
          </a:r>
        </a:p>
      </xdr:txBody>
    </xdr:sp>
    <xdr:clientData/>
  </xdr:twoCellAnchor>
  <xdr:twoCellAnchor>
    <xdr:from>
      <xdr:col>17</xdr:col>
      <xdr:colOff>9525</xdr:colOff>
      <xdr:row>30</xdr:row>
      <xdr:rowOff>19050</xdr:rowOff>
    </xdr:from>
    <xdr:to>
      <xdr:col>21</xdr:col>
      <xdr:colOff>9525</xdr:colOff>
      <xdr:row>31</xdr:row>
      <xdr:rowOff>9525</xdr:rowOff>
    </xdr:to>
    <xdr:sp>
      <xdr:nvSpPr>
        <xdr:cNvPr id="4" name="Line 49"/>
        <xdr:cNvSpPr>
          <a:spLocks/>
        </xdr:cNvSpPr>
      </xdr:nvSpPr>
      <xdr:spPr>
        <a:xfrm flipV="1">
          <a:off x="9477375" y="5715000"/>
          <a:ext cx="15049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45</xdr:row>
      <xdr:rowOff>19050</xdr:rowOff>
    </xdr:from>
    <xdr:to>
      <xdr:col>21</xdr:col>
      <xdr:colOff>19050</xdr:colOff>
      <xdr:row>45</xdr:row>
      <xdr:rowOff>161925</xdr:rowOff>
    </xdr:to>
    <xdr:sp>
      <xdr:nvSpPr>
        <xdr:cNvPr id="5" name="Line 50"/>
        <xdr:cNvSpPr>
          <a:spLocks/>
        </xdr:cNvSpPr>
      </xdr:nvSpPr>
      <xdr:spPr>
        <a:xfrm flipV="1">
          <a:off x="9467850" y="8286750"/>
          <a:ext cx="15240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9525</xdr:colOff>
      <xdr:row>50</xdr:row>
      <xdr:rowOff>0</xdr:rowOff>
    </xdr:to>
    <xdr:sp>
      <xdr:nvSpPr>
        <xdr:cNvPr id="6" name="Line 51"/>
        <xdr:cNvSpPr>
          <a:spLocks/>
        </xdr:cNvSpPr>
      </xdr:nvSpPr>
      <xdr:spPr>
        <a:xfrm flipV="1">
          <a:off x="7448550" y="8953500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61</xdr:row>
      <xdr:rowOff>0</xdr:rowOff>
    </xdr:from>
    <xdr:to>
      <xdr:col>14</xdr:col>
      <xdr:colOff>657225</xdr:colOff>
      <xdr:row>62</xdr:row>
      <xdr:rowOff>9525</xdr:rowOff>
    </xdr:to>
    <xdr:sp>
      <xdr:nvSpPr>
        <xdr:cNvPr id="7" name="Line 52"/>
        <xdr:cNvSpPr>
          <a:spLocks/>
        </xdr:cNvSpPr>
      </xdr:nvSpPr>
      <xdr:spPr>
        <a:xfrm flipV="1">
          <a:off x="7467600" y="11010900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8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1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666750</xdr:colOff>
      <xdr:row>54</xdr:row>
      <xdr:rowOff>19050</xdr:rowOff>
    </xdr:from>
    <xdr:to>
      <xdr:col>21</xdr:col>
      <xdr:colOff>0</xdr:colOff>
      <xdr:row>54</xdr:row>
      <xdr:rowOff>161925</xdr:rowOff>
    </xdr:to>
    <xdr:sp>
      <xdr:nvSpPr>
        <xdr:cNvPr id="2" name="Line 45"/>
        <xdr:cNvSpPr>
          <a:spLocks/>
        </xdr:cNvSpPr>
      </xdr:nvSpPr>
      <xdr:spPr>
        <a:xfrm flipV="1">
          <a:off x="9448800" y="9877425"/>
          <a:ext cx="15240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58</xdr:row>
      <xdr:rowOff>0</xdr:rowOff>
    </xdr:from>
    <xdr:to>
      <xdr:col>15</xdr:col>
      <xdr:colOff>9525</xdr:colOff>
      <xdr:row>59</xdr:row>
      <xdr:rowOff>0</xdr:rowOff>
    </xdr:to>
    <xdr:sp>
      <xdr:nvSpPr>
        <xdr:cNvPr id="3" name="Line 46"/>
        <xdr:cNvSpPr>
          <a:spLocks/>
        </xdr:cNvSpPr>
      </xdr:nvSpPr>
      <xdr:spPr>
        <a:xfrm flipV="1">
          <a:off x="7448550" y="10544175"/>
          <a:ext cx="6762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77</xdr:row>
      <xdr:rowOff>0</xdr:rowOff>
    </xdr:from>
    <xdr:to>
      <xdr:col>14</xdr:col>
      <xdr:colOff>657225</xdr:colOff>
      <xdr:row>78</xdr:row>
      <xdr:rowOff>9525</xdr:rowOff>
    </xdr:to>
    <xdr:sp>
      <xdr:nvSpPr>
        <xdr:cNvPr id="4" name="Line 47"/>
        <xdr:cNvSpPr>
          <a:spLocks/>
        </xdr:cNvSpPr>
      </xdr:nvSpPr>
      <xdr:spPr>
        <a:xfrm flipV="1">
          <a:off x="7467600" y="13801725"/>
          <a:ext cx="6381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32</xdr:row>
      <xdr:rowOff>19050</xdr:rowOff>
    </xdr:from>
    <xdr:to>
      <xdr:col>21</xdr:col>
      <xdr:colOff>28575</xdr:colOff>
      <xdr:row>33</xdr:row>
      <xdr:rowOff>9525</xdr:rowOff>
    </xdr:to>
    <xdr:sp>
      <xdr:nvSpPr>
        <xdr:cNvPr id="5" name="Line 48"/>
        <xdr:cNvSpPr>
          <a:spLocks/>
        </xdr:cNvSpPr>
      </xdr:nvSpPr>
      <xdr:spPr>
        <a:xfrm flipV="1">
          <a:off x="9467850" y="6096000"/>
          <a:ext cx="15335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36</xdr:row>
      <xdr:rowOff>9525</xdr:rowOff>
    </xdr:from>
    <xdr:to>
      <xdr:col>15</xdr:col>
      <xdr:colOff>9525</xdr:colOff>
      <xdr:row>37</xdr:row>
      <xdr:rowOff>9525</xdr:rowOff>
    </xdr:to>
    <xdr:sp>
      <xdr:nvSpPr>
        <xdr:cNvPr id="6" name="Line 49"/>
        <xdr:cNvSpPr>
          <a:spLocks/>
        </xdr:cNvSpPr>
      </xdr:nvSpPr>
      <xdr:spPr>
        <a:xfrm flipV="1">
          <a:off x="7477125" y="6772275"/>
          <a:ext cx="647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419100</xdr:colOff>
      <xdr:row>9</xdr:row>
      <xdr:rowOff>95250</xdr:rowOff>
    </xdr:from>
    <xdr:to>
      <xdr:col>11</xdr:col>
      <xdr:colOff>457200</xdr:colOff>
      <xdr:row>9</xdr:row>
      <xdr:rowOff>161925</xdr:rowOff>
    </xdr:to>
    <xdr:sp>
      <xdr:nvSpPr>
        <xdr:cNvPr id="7" name="Oval 1"/>
        <xdr:cNvSpPr>
          <a:spLocks/>
        </xdr:cNvSpPr>
      </xdr:nvSpPr>
      <xdr:spPr>
        <a:xfrm>
          <a:off x="5867400" y="1876425"/>
          <a:ext cx="381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47625</xdr:rowOff>
    </xdr:from>
    <xdr:to>
      <xdr:col>1</xdr:col>
      <xdr:colOff>276225</xdr:colOff>
      <xdr:row>24</xdr:row>
      <xdr:rowOff>57150</xdr:rowOff>
    </xdr:to>
    <xdr:sp>
      <xdr:nvSpPr>
        <xdr:cNvPr id="1" name="Rectangle 128"/>
        <xdr:cNvSpPr>
          <a:spLocks/>
        </xdr:cNvSpPr>
      </xdr:nvSpPr>
      <xdr:spPr>
        <a:xfrm>
          <a:off x="704850" y="4429125"/>
          <a:ext cx="257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0</xdr:col>
      <xdr:colOff>0</xdr:colOff>
      <xdr:row>11</xdr:row>
      <xdr:rowOff>161925</xdr:rowOff>
    </xdr:to>
    <xdr:sp>
      <xdr:nvSpPr>
        <xdr:cNvPr id="2" name="Oval 1"/>
        <xdr:cNvSpPr>
          <a:spLocks/>
        </xdr:cNvSpPr>
      </xdr:nvSpPr>
      <xdr:spPr>
        <a:xfrm>
          <a:off x="0" y="2381250"/>
          <a:ext cx="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30</xdr:row>
      <xdr:rowOff>47625</xdr:rowOff>
    </xdr:from>
    <xdr:to>
      <xdr:col>18</xdr:col>
      <xdr:colOff>523875</xdr:colOff>
      <xdr:row>30</xdr:row>
      <xdr:rowOff>47625</xdr:rowOff>
    </xdr:to>
    <xdr:sp>
      <xdr:nvSpPr>
        <xdr:cNvPr id="3" name="Line 2"/>
        <xdr:cNvSpPr>
          <a:spLocks/>
        </xdr:cNvSpPr>
      </xdr:nvSpPr>
      <xdr:spPr>
        <a:xfrm>
          <a:off x="11877675" y="5895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190500</xdr:rowOff>
    </xdr:from>
    <xdr:to>
      <xdr:col>18</xdr:col>
      <xdr:colOff>0</xdr:colOff>
      <xdr:row>30</xdr:row>
      <xdr:rowOff>47625</xdr:rowOff>
    </xdr:to>
    <xdr:sp>
      <xdr:nvSpPr>
        <xdr:cNvPr id="4" name="Line 3"/>
        <xdr:cNvSpPr>
          <a:spLocks/>
        </xdr:cNvSpPr>
      </xdr:nvSpPr>
      <xdr:spPr>
        <a:xfrm flipV="1">
          <a:off x="12344400" y="4953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581025</xdr:colOff>
      <xdr:row>24</xdr:row>
      <xdr:rowOff>190500</xdr:rowOff>
    </xdr:from>
    <xdr:to>
      <xdr:col>18</xdr:col>
      <xdr:colOff>114300</xdr:colOff>
      <xdr:row>24</xdr:row>
      <xdr:rowOff>190500</xdr:rowOff>
    </xdr:to>
    <xdr:sp>
      <xdr:nvSpPr>
        <xdr:cNvPr id="5" name="Line 4"/>
        <xdr:cNvSpPr>
          <a:spLocks/>
        </xdr:cNvSpPr>
      </xdr:nvSpPr>
      <xdr:spPr>
        <a:xfrm>
          <a:off x="12239625" y="4953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571500</xdr:colOff>
      <xdr:row>24</xdr:row>
      <xdr:rowOff>161925</xdr:rowOff>
    </xdr:from>
    <xdr:to>
      <xdr:col>18</xdr:col>
      <xdr:colOff>123825</xdr:colOff>
      <xdr:row>24</xdr:row>
      <xdr:rowOff>161925</xdr:rowOff>
    </xdr:to>
    <xdr:sp>
      <xdr:nvSpPr>
        <xdr:cNvPr id="6" name="Line 5"/>
        <xdr:cNvSpPr>
          <a:spLocks/>
        </xdr:cNvSpPr>
      </xdr:nvSpPr>
      <xdr:spPr>
        <a:xfrm>
          <a:off x="12230100" y="4924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12</xdr:row>
      <xdr:rowOff>133350</xdr:rowOff>
    </xdr:from>
    <xdr:to>
      <xdr:col>18</xdr:col>
      <xdr:colOff>0</xdr:colOff>
      <xdr:row>24</xdr:row>
      <xdr:rowOff>171450</xdr:rowOff>
    </xdr:to>
    <xdr:sp>
      <xdr:nvSpPr>
        <xdr:cNvPr id="7" name="Line 6"/>
        <xdr:cNvSpPr>
          <a:spLocks/>
        </xdr:cNvSpPr>
      </xdr:nvSpPr>
      <xdr:spPr>
        <a:xfrm flipV="1">
          <a:off x="12344400" y="2609850"/>
          <a:ext cx="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295275</xdr:colOff>
      <xdr:row>12</xdr:row>
      <xdr:rowOff>133350</xdr:rowOff>
    </xdr:from>
    <xdr:to>
      <xdr:col>18</xdr:col>
      <xdr:colOff>0</xdr:colOff>
      <xdr:row>12</xdr:row>
      <xdr:rowOff>133350</xdr:rowOff>
    </xdr:to>
    <xdr:sp>
      <xdr:nvSpPr>
        <xdr:cNvPr id="8" name="Line 7"/>
        <xdr:cNvSpPr>
          <a:spLocks/>
        </xdr:cNvSpPr>
      </xdr:nvSpPr>
      <xdr:spPr>
        <a:xfrm flipH="1">
          <a:off x="11953875" y="2609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18</xdr:col>
      <xdr:colOff>295275</xdr:colOff>
      <xdr:row>13</xdr:row>
      <xdr:rowOff>123825</xdr:rowOff>
    </xdr:to>
    <xdr:sp>
      <xdr:nvSpPr>
        <xdr:cNvPr id="9" name="Line 8"/>
        <xdr:cNvSpPr>
          <a:spLocks/>
        </xdr:cNvSpPr>
      </xdr:nvSpPr>
      <xdr:spPr>
        <a:xfrm>
          <a:off x="12344400" y="2790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14</xdr:row>
      <xdr:rowOff>114300</xdr:rowOff>
    </xdr:from>
    <xdr:to>
      <xdr:col>18</xdr:col>
      <xdr:colOff>0</xdr:colOff>
      <xdr:row>14</xdr:row>
      <xdr:rowOff>114300</xdr:rowOff>
    </xdr:to>
    <xdr:sp>
      <xdr:nvSpPr>
        <xdr:cNvPr id="10" name="Line 9"/>
        <xdr:cNvSpPr>
          <a:spLocks/>
        </xdr:cNvSpPr>
      </xdr:nvSpPr>
      <xdr:spPr>
        <a:xfrm flipH="1">
          <a:off x="11944350" y="2971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15</xdr:row>
      <xdr:rowOff>123825</xdr:rowOff>
    </xdr:from>
    <xdr:to>
      <xdr:col>18</xdr:col>
      <xdr:colOff>314325</xdr:colOff>
      <xdr:row>15</xdr:row>
      <xdr:rowOff>123825</xdr:rowOff>
    </xdr:to>
    <xdr:sp>
      <xdr:nvSpPr>
        <xdr:cNvPr id="11" name="Line 10"/>
        <xdr:cNvSpPr>
          <a:spLocks/>
        </xdr:cNvSpPr>
      </xdr:nvSpPr>
      <xdr:spPr>
        <a:xfrm>
          <a:off x="12344400" y="3171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314325</xdr:colOff>
      <xdr:row>15</xdr:row>
      <xdr:rowOff>19050</xdr:rowOff>
    </xdr:from>
    <xdr:to>
      <xdr:col>18</xdr:col>
      <xdr:colOff>533400</xdr:colOff>
      <xdr:row>16</xdr:row>
      <xdr:rowOff>47625</xdr:rowOff>
    </xdr:to>
    <xdr:sp>
      <xdr:nvSpPr>
        <xdr:cNvPr id="12" name="Oval 11"/>
        <xdr:cNvSpPr>
          <a:spLocks/>
        </xdr:cNvSpPr>
      </xdr:nvSpPr>
      <xdr:spPr>
        <a:xfrm>
          <a:off x="12658725" y="3067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295275</xdr:colOff>
      <xdr:row>13</xdr:row>
      <xdr:rowOff>0</xdr:rowOff>
    </xdr:from>
    <xdr:to>
      <xdr:col>18</xdr:col>
      <xdr:colOff>514350</xdr:colOff>
      <xdr:row>14</xdr:row>
      <xdr:rowOff>28575</xdr:rowOff>
    </xdr:to>
    <xdr:sp>
      <xdr:nvSpPr>
        <xdr:cNvPr id="13" name="Oval 12"/>
        <xdr:cNvSpPr>
          <a:spLocks/>
        </xdr:cNvSpPr>
      </xdr:nvSpPr>
      <xdr:spPr>
        <a:xfrm>
          <a:off x="12639675" y="2667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12</xdr:row>
      <xdr:rowOff>9525</xdr:rowOff>
    </xdr:from>
    <xdr:to>
      <xdr:col>17</xdr:col>
      <xdr:colOff>276225</xdr:colOff>
      <xdr:row>13</xdr:row>
      <xdr:rowOff>38100</xdr:rowOff>
    </xdr:to>
    <xdr:sp>
      <xdr:nvSpPr>
        <xdr:cNvPr id="14" name="Oval 13"/>
        <xdr:cNvSpPr>
          <a:spLocks/>
        </xdr:cNvSpPr>
      </xdr:nvSpPr>
      <xdr:spPr>
        <a:xfrm>
          <a:off x="11715750" y="24860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57150</xdr:colOff>
      <xdr:row>14</xdr:row>
      <xdr:rowOff>0</xdr:rowOff>
    </xdr:from>
    <xdr:to>
      <xdr:col>17</xdr:col>
      <xdr:colOff>276225</xdr:colOff>
      <xdr:row>15</xdr:row>
      <xdr:rowOff>28575</xdr:rowOff>
    </xdr:to>
    <xdr:sp>
      <xdr:nvSpPr>
        <xdr:cNvPr id="15" name="Oval 14"/>
        <xdr:cNvSpPr>
          <a:spLocks/>
        </xdr:cNvSpPr>
      </xdr:nvSpPr>
      <xdr:spPr>
        <a:xfrm>
          <a:off x="11715750" y="28575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114300</xdr:colOff>
      <xdr:row>12</xdr:row>
      <xdr:rowOff>38100</xdr:rowOff>
    </xdr:from>
    <xdr:ext cx="114300" cy="180975"/>
    <xdr:sp>
      <xdr:nvSpPr>
        <xdr:cNvPr id="16" name="Text Box 15"/>
        <xdr:cNvSpPr txBox="1">
          <a:spLocks noChangeArrowheads="1"/>
        </xdr:cNvSpPr>
      </xdr:nvSpPr>
      <xdr:spPr>
        <a:xfrm>
          <a:off x="11772900" y="25146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18</xdr:col>
      <xdr:colOff>342900</xdr:colOff>
      <xdr:row>13</xdr:row>
      <xdr:rowOff>38100</xdr:rowOff>
    </xdr:from>
    <xdr:ext cx="114300" cy="180975"/>
    <xdr:sp>
      <xdr:nvSpPr>
        <xdr:cNvPr id="17" name="Text Box 16"/>
        <xdr:cNvSpPr txBox="1">
          <a:spLocks noChangeArrowheads="1"/>
        </xdr:cNvSpPr>
      </xdr:nvSpPr>
      <xdr:spPr>
        <a:xfrm>
          <a:off x="12687300" y="27051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17</xdr:col>
      <xdr:colOff>114300</xdr:colOff>
      <xdr:row>14</xdr:row>
      <xdr:rowOff>38100</xdr:rowOff>
    </xdr:from>
    <xdr:ext cx="114300" cy="180975"/>
    <xdr:sp>
      <xdr:nvSpPr>
        <xdr:cNvPr id="18" name="Text Box 17"/>
        <xdr:cNvSpPr txBox="1">
          <a:spLocks noChangeArrowheads="1"/>
        </xdr:cNvSpPr>
      </xdr:nvSpPr>
      <xdr:spPr>
        <a:xfrm>
          <a:off x="11772900" y="28956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18</xdr:col>
      <xdr:colOff>342900</xdr:colOff>
      <xdr:row>15</xdr:row>
      <xdr:rowOff>38100</xdr:rowOff>
    </xdr:from>
    <xdr:ext cx="114300" cy="180975"/>
    <xdr:sp>
      <xdr:nvSpPr>
        <xdr:cNvPr id="19" name="Text Box 18"/>
        <xdr:cNvSpPr txBox="1">
          <a:spLocks noChangeArrowheads="1"/>
        </xdr:cNvSpPr>
      </xdr:nvSpPr>
      <xdr:spPr>
        <a:xfrm>
          <a:off x="12687300" y="30861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16</xdr:col>
      <xdr:colOff>342900</xdr:colOff>
      <xdr:row>12</xdr:row>
      <xdr:rowOff>114300</xdr:rowOff>
    </xdr:from>
    <xdr:to>
      <xdr:col>17</xdr:col>
      <xdr:colOff>38100</xdr:colOff>
      <xdr:row>12</xdr:row>
      <xdr:rowOff>114300</xdr:rowOff>
    </xdr:to>
    <xdr:sp>
      <xdr:nvSpPr>
        <xdr:cNvPr id="20" name="Line 19"/>
        <xdr:cNvSpPr>
          <a:spLocks/>
        </xdr:cNvSpPr>
      </xdr:nvSpPr>
      <xdr:spPr>
        <a:xfrm flipH="1">
          <a:off x="11315700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9525</xdr:colOff>
      <xdr:row>12</xdr:row>
      <xdr:rowOff>28575</xdr:rowOff>
    </xdr:from>
    <xdr:ext cx="276225" cy="276225"/>
    <xdr:sp>
      <xdr:nvSpPr>
        <xdr:cNvPr id="21" name="Text Box 20"/>
        <xdr:cNvSpPr txBox="1">
          <a:spLocks noChangeArrowheads="1"/>
        </xdr:cNvSpPr>
      </xdr:nvSpPr>
      <xdr:spPr>
        <a:xfrm>
          <a:off x="10982325" y="25050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17</xdr:col>
      <xdr:colOff>342900</xdr:colOff>
      <xdr:row>15</xdr:row>
      <xdr:rowOff>133350</xdr:rowOff>
    </xdr:from>
    <xdr:ext cx="276225" cy="276225"/>
    <xdr:sp>
      <xdr:nvSpPr>
        <xdr:cNvPr id="22" name="Text Box 21"/>
        <xdr:cNvSpPr txBox="1">
          <a:spLocks noChangeArrowheads="1"/>
        </xdr:cNvSpPr>
      </xdr:nvSpPr>
      <xdr:spPr>
        <a:xfrm>
          <a:off x="12001500" y="31813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15</xdr:col>
      <xdr:colOff>19050</xdr:colOff>
      <xdr:row>3</xdr:row>
      <xdr:rowOff>171450</xdr:rowOff>
    </xdr:from>
    <xdr:ext cx="276225" cy="276225"/>
    <xdr:sp>
      <xdr:nvSpPr>
        <xdr:cNvPr id="23" name="Text Box 22"/>
        <xdr:cNvSpPr txBox="1">
          <a:spLocks noChangeArrowheads="1"/>
        </xdr:cNvSpPr>
      </xdr:nvSpPr>
      <xdr:spPr>
        <a:xfrm>
          <a:off x="10306050" y="9334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17</xdr:col>
      <xdr:colOff>390525</xdr:colOff>
      <xdr:row>10</xdr:row>
      <xdr:rowOff>161925</xdr:rowOff>
    </xdr:from>
    <xdr:ext cx="276225" cy="276225"/>
    <xdr:sp>
      <xdr:nvSpPr>
        <xdr:cNvPr id="24" name="Text Box 23"/>
        <xdr:cNvSpPr txBox="1">
          <a:spLocks noChangeArrowheads="1"/>
        </xdr:cNvSpPr>
      </xdr:nvSpPr>
      <xdr:spPr>
        <a:xfrm>
          <a:off x="12049125" y="22574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16</xdr:col>
      <xdr:colOff>342900</xdr:colOff>
      <xdr:row>7</xdr:row>
      <xdr:rowOff>104775</xdr:rowOff>
    </xdr:from>
    <xdr:to>
      <xdr:col>16</xdr:col>
      <xdr:colOff>342900</xdr:colOff>
      <xdr:row>12</xdr:row>
      <xdr:rowOff>114300</xdr:rowOff>
    </xdr:to>
    <xdr:sp>
      <xdr:nvSpPr>
        <xdr:cNvPr id="25" name="Line 24"/>
        <xdr:cNvSpPr>
          <a:spLocks/>
        </xdr:cNvSpPr>
      </xdr:nvSpPr>
      <xdr:spPr>
        <a:xfrm flipV="1">
          <a:off x="11315700" y="16287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447675</xdr:colOff>
      <xdr:row>2</xdr:row>
      <xdr:rowOff>47625</xdr:rowOff>
    </xdr:from>
    <xdr:to>
      <xdr:col>18</xdr:col>
      <xdr:colOff>190500</xdr:colOff>
      <xdr:row>3</xdr:row>
      <xdr:rowOff>66675</xdr:rowOff>
    </xdr:to>
    <xdr:sp>
      <xdr:nvSpPr>
        <xdr:cNvPr id="26" name="Text Box 25"/>
        <xdr:cNvSpPr txBox="1">
          <a:spLocks noChangeArrowheads="1"/>
        </xdr:cNvSpPr>
      </xdr:nvSpPr>
      <xdr:spPr>
        <a:xfrm>
          <a:off x="10734675" y="600075"/>
          <a:ext cx="1800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は２Ｆ部屋のﾄｲﾚを想定</a:t>
          </a:r>
        </a:p>
      </xdr:txBody>
    </xdr:sp>
    <xdr:clientData/>
  </xdr:twoCellAnchor>
  <xdr:twoCellAnchor>
    <xdr:from>
      <xdr:col>16</xdr:col>
      <xdr:colOff>28575</xdr:colOff>
      <xdr:row>6</xdr:row>
      <xdr:rowOff>133350</xdr:rowOff>
    </xdr:from>
    <xdr:to>
      <xdr:col>16</xdr:col>
      <xdr:colOff>342900</xdr:colOff>
      <xdr:row>7</xdr:row>
      <xdr:rowOff>95250</xdr:rowOff>
    </xdr:to>
    <xdr:sp>
      <xdr:nvSpPr>
        <xdr:cNvPr id="27" name="Line 26"/>
        <xdr:cNvSpPr>
          <a:spLocks/>
        </xdr:cNvSpPr>
      </xdr:nvSpPr>
      <xdr:spPr>
        <a:xfrm flipH="1" flipV="1">
          <a:off x="11001375" y="146685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</xdr:colOff>
      <xdr:row>4</xdr:row>
      <xdr:rowOff>133350</xdr:rowOff>
    </xdr:from>
    <xdr:to>
      <xdr:col>16</xdr:col>
      <xdr:colOff>38100</xdr:colOff>
      <xdr:row>6</xdr:row>
      <xdr:rowOff>142875</xdr:rowOff>
    </xdr:to>
    <xdr:sp>
      <xdr:nvSpPr>
        <xdr:cNvPr id="28" name="Line 27"/>
        <xdr:cNvSpPr>
          <a:spLocks/>
        </xdr:cNvSpPr>
      </xdr:nvSpPr>
      <xdr:spPr>
        <a:xfrm flipV="1">
          <a:off x="11010900" y="1085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285750</xdr:colOff>
      <xdr:row>4</xdr:row>
      <xdr:rowOff>123825</xdr:rowOff>
    </xdr:from>
    <xdr:to>
      <xdr:col>16</xdr:col>
      <xdr:colOff>28575</xdr:colOff>
      <xdr:row>4</xdr:row>
      <xdr:rowOff>123825</xdr:rowOff>
    </xdr:to>
    <xdr:sp>
      <xdr:nvSpPr>
        <xdr:cNvPr id="29" name="Line 28"/>
        <xdr:cNvSpPr>
          <a:spLocks/>
        </xdr:cNvSpPr>
      </xdr:nvSpPr>
      <xdr:spPr>
        <a:xfrm flipH="1">
          <a:off x="10572750" y="1076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114300</xdr:colOff>
      <xdr:row>3</xdr:row>
      <xdr:rowOff>180975</xdr:rowOff>
    </xdr:from>
    <xdr:ext cx="276225" cy="276225"/>
    <xdr:sp>
      <xdr:nvSpPr>
        <xdr:cNvPr id="30" name="Text Box 29"/>
        <xdr:cNvSpPr txBox="1">
          <a:spLocks noChangeArrowheads="1"/>
        </xdr:cNvSpPr>
      </xdr:nvSpPr>
      <xdr:spPr>
        <a:xfrm>
          <a:off x="11087100" y="9429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oneCellAnchor>
    <xdr:from>
      <xdr:col>17</xdr:col>
      <xdr:colOff>304800</xdr:colOff>
      <xdr:row>30</xdr:row>
      <xdr:rowOff>123825</xdr:rowOff>
    </xdr:from>
    <xdr:ext cx="276225" cy="276225"/>
    <xdr:sp>
      <xdr:nvSpPr>
        <xdr:cNvPr id="31" name="Text Box 38"/>
        <xdr:cNvSpPr txBox="1">
          <a:spLocks noChangeArrowheads="1"/>
        </xdr:cNvSpPr>
      </xdr:nvSpPr>
      <xdr:spPr>
        <a:xfrm>
          <a:off x="11963400" y="59721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twoCellAnchor>
    <xdr:from>
      <xdr:col>25</xdr:col>
      <xdr:colOff>219075</xdr:colOff>
      <xdr:row>30</xdr:row>
      <xdr:rowOff>47625</xdr:rowOff>
    </xdr:from>
    <xdr:to>
      <xdr:col>26</xdr:col>
      <xdr:colOff>523875</xdr:colOff>
      <xdr:row>30</xdr:row>
      <xdr:rowOff>47625</xdr:rowOff>
    </xdr:to>
    <xdr:sp>
      <xdr:nvSpPr>
        <xdr:cNvPr id="32" name="Line 42"/>
        <xdr:cNvSpPr>
          <a:spLocks/>
        </xdr:cNvSpPr>
      </xdr:nvSpPr>
      <xdr:spPr>
        <a:xfrm>
          <a:off x="17364075" y="5895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190500</xdr:rowOff>
    </xdr:from>
    <xdr:to>
      <xdr:col>26</xdr:col>
      <xdr:colOff>0</xdr:colOff>
      <xdr:row>30</xdr:row>
      <xdr:rowOff>47625</xdr:rowOff>
    </xdr:to>
    <xdr:sp>
      <xdr:nvSpPr>
        <xdr:cNvPr id="33" name="Line 43"/>
        <xdr:cNvSpPr>
          <a:spLocks/>
        </xdr:cNvSpPr>
      </xdr:nvSpPr>
      <xdr:spPr>
        <a:xfrm flipV="1">
          <a:off x="17830800" y="49530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581025</xdr:colOff>
      <xdr:row>24</xdr:row>
      <xdr:rowOff>190500</xdr:rowOff>
    </xdr:from>
    <xdr:to>
      <xdr:col>26</xdr:col>
      <xdr:colOff>114300</xdr:colOff>
      <xdr:row>24</xdr:row>
      <xdr:rowOff>190500</xdr:rowOff>
    </xdr:to>
    <xdr:sp>
      <xdr:nvSpPr>
        <xdr:cNvPr id="34" name="Line 44"/>
        <xdr:cNvSpPr>
          <a:spLocks/>
        </xdr:cNvSpPr>
      </xdr:nvSpPr>
      <xdr:spPr>
        <a:xfrm>
          <a:off x="17726025" y="49530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571500</xdr:colOff>
      <xdr:row>24</xdr:row>
      <xdr:rowOff>161925</xdr:rowOff>
    </xdr:from>
    <xdr:to>
      <xdr:col>26</xdr:col>
      <xdr:colOff>123825</xdr:colOff>
      <xdr:row>24</xdr:row>
      <xdr:rowOff>161925</xdr:rowOff>
    </xdr:to>
    <xdr:sp>
      <xdr:nvSpPr>
        <xdr:cNvPr id="35" name="Line 45"/>
        <xdr:cNvSpPr>
          <a:spLocks/>
        </xdr:cNvSpPr>
      </xdr:nvSpPr>
      <xdr:spPr>
        <a:xfrm>
          <a:off x="17716500" y="49244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12</xdr:row>
      <xdr:rowOff>133350</xdr:rowOff>
    </xdr:from>
    <xdr:to>
      <xdr:col>26</xdr:col>
      <xdr:colOff>0</xdr:colOff>
      <xdr:row>22</xdr:row>
      <xdr:rowOff>76200</xdr:rowOff>
    </xdr:to>
    <xdr:sp>
      <xdr:nvSpPr>
        <xdr:cNvPr id="36" name="Line 46"/>
        <xdr:cNvSpPr>
          <a:spLocks/>
        </xdr:cNvSpPr>
      </xdr:nvSpPr>
      <xdr:spPr>
        <a:xfrm flipV="1">
          <a:off x="17830800" y="2609850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12</xdr:row>
      <xdr:rowOff>133350</xdr:rowOff>
    </xdr:from>
    <xdr:to>
      <xdr:col>26</xdr:col>
      <xdr:colOff>0</xdr:colOff>
      <xdr:row>12</xdr:row>
      <xdr:rowOff>133350</xdr:rowOff>
    </xdr:to>
    <xdr:sp>
      <xdr:nvSpPr>
        <xdr:cNvPr id="37" name="Line 47"/>
        <xdr:cNvSpPr>
          <a:spLocks/>
        </xdr:cNvSpPr>
      </xdr:nvSpPr>
      <xdr:spPr>
        <a:xfrm flipH="1">
          <a:off x="17440275" y="26098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13</xdr:row>
      <xdr:rowOff>123825</xdr:rowOff>
    </xdr:from>
    <xdr:to>
      <xdr:col>26</xdr:col>
      <xdr:colOff>295275</xdr:colOff>
      <xdr:row>13</xdr:row>
      <xdr:rowOff>123825</xdr:rowOff>
    </xdr:to>
    <xdr:sp>
      <xdr:nvSpPr>
        <xdr:cNvPr id="38" name="Line 48"/>
        <xdr:cNvSpPr>
          <a:spLocks/>
        </xdr:cNvSpPr>
      </xdr:nvSpPr>
      <xdr:spPr>
        <a:xfrm>
          <a:off x="17830800" y="2790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285750</xdr:colOff>
      <xdr:row>14</xdr:row>
      <xdr:rowOff>114300</xdr:rowOff>
    </xdr:from>
    <xdr:to>
      <xdr:col>26</xdr:col>
      <xdr:colOff>0</xdr:colOff>
      <xdr:row>14</xdr:row>
      <xdr:rowOff>114300</xdr:rowOff>
    </xdr:to>
    <xdr:sp>
      <xdr:nvSpPr>
        <xdr:cNvPr id="39" name="Line 49"/>
        <xdr:cNvSpPr>
          <a:spLocks/>
        </xdr:cNvSpPr>
      </xdr:nvSpPr>
      <xdr:spPr>
        <a:xfrm flipH="1">
          <a:off x="17430750" y="2971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23</xdr:row>
      <xdr:rowOff>123825</xdr:rowOff>
    </xdr:from>
    <xdr:to>
      <xdr:col>26</xdr:col>
      <xdr:colOff>0</xdr:colOff>
      <xdr:row>24</xdr:row>
      <xdr:rowOff>152400</xdr:rowOff>
    </xdr:to>
    <xdr:sp>
      <xdr:nvSpPr>
        <xdr:cNvPr id="40" name="Line 50"/>
        <xdr:cNvSpPr>
          <a:spLocks/>
        </xdr:cNvSpPr>
      </xdr:nvSpPr>
      <xdr:spPr>
        <a:xfrm>
          <a:off x="17830800" y="4695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571500</xdr:colOff>
      <xdr:row>22</xdr:row>
      <xdr:rowOff>85725</xdr:rowOff>
    </xdr:from>
    <xdr:to>
      <xdr:col>26</xdr:col>
      <xdr:colOff>104775</xdr:colOff>
      <xdr:row>23</xdr:row>
      <xdr:rowOff>114300</xdr:rowOff>
    </xdr:to>
    <xdr:sp>
      <xdr:nvSpPr>
        <xdr:cNvPr id="41" name="Oval 51"/>
        <xdr:cNvSpPr>
          <a:spLocks/>
        </xdr:cNvSpPr>
      </xdr:nvSpPr>
      <xdr:spPr>
        <a:xfrm>
          <a:off x="17716500" y="44672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13</xdr:row>
      <xdr:rowOff>0</xdr:rowOff>
    </xdr:from>
    <xdr:to>
      <xdr:col>26</xdr:col>
      <xdr:colOff>514350</xdr:colOff>
      <xdr:row>14</xdr:row>
      <xdr:rowOff>28575</xdr:rowOff>
    </xdr:to>
    <xdr:sp>
      <xdr:nvSpPr>
        <xdr:cNvPr id="42" name="Oval 52"/>
        <xdr:cNvSpPr>
          <a:spLocks/>
        </xdr:cNvSpPr>
      </xdr:nvSpPr>
      <xdr:spPr>
        <a:xfrm>
          <a:off x="18126075" y="2667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12</xdr:row>
      <xdr:rowOff>9525</xdr:rowOff>
    </xdr:from>
    <xdr:to>
      <xdr:col>25</xdr:col>
      <xdr:colOff>276225</xdr:colOff>
      <xdr:row>13</xdr:row>
      <xdr:rowOff>38100</xdr:rowOff>
    </xdr:to>
    <xdr:sp>
      <xdr:nvSpPr>
        <xdr:cNvPr id="43" name="Oval 53"/>
        <xdr:cNvSpPr>
          <a:spLocks/>
        </xdr:cNvSpPr>
      </xdr:nvSpPr>
      <xdr:spPr>
        <a:xfrm>
          <a:off x="17202150" y="24860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14</xdr:row>
      <xdr:rowOff>0</xdr:rowOff>
    </xdr:from>
    <xdr:to>
      <xdr:col>25</xdr:col>
      <xdr:colOff>276225</xdr:colOff>
      <xdr:row>15</xdr:row>
      <xdr:rowOff>28575</xdr:rowOff>
    </xdr:to>
    <xdr:sp>
      <xdr:nvSpPr>
        <xdr:cNvPr id="44" name="Oval 54"/>
        <xdr:cNvSpPr>
          <a:spLocks/>
        </xdr:cNvSpPr>
      </xdr:nvSpPr>
      <xdr:spPr>
        <a:xfrm>
          <a:off x="17202150" y="28575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114300</xdr:colOff>
      <xdr:row>12</xdr:row>
      <xdr:rowOff>38100</xdr:rowOff>
    </xdr:from>
    <xdr:ext cx="114300" cy="180975"/>
    <xdr:sp>
      <xdr:nvSpPr>
        <xdr:cNvPr id="45" name="Text Box 55"/>
        <xdr:cNvSpPr txBox="1">
          <a:spLocks noChangeArrowheads="1"/>
        </xdr:cNvSpPr>
      </xdr:nvSpPr>
      <xdr:spPr>
        <a:xfrm>
          <a:off x="17259300" y="25146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26</xdr:col>
      <xdr:colOff>333375</xdr:colOff>
      <xdr:row>13</xdr:row>
      <xdr:rowOff>28575</xdr:rowOff>
    </xdr:from>
    <xdr:ext cx="114300" cy="180975"/>
    <xdr:sp>
      <xdr:nvSpPr>
        <xdr:cNvPr id="46" name="Text Box 56"/>
        <xdr:cNvSpPr txBox="1">
          <a:spLocks noChangeArrowheads="1"/>
        </xdr:cNvSpPr>
      </xdr:nvSpPr>
      <xdr:spPr>
        <a:xfrm>
          <a:off x="18164175" y="269557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25</xdr:col>
      <xdr:colOff>114300</xdr:colOff>
      <xdr:row>14</xdr:row>
      <xdr:rowOff>38100</xdr:rowOff>
    </xdr:from>
    <xdr:ext cx="114300" cy="180975"/>
    <xdr:sp>
      <xdr:nvSpPr>
        <xdr:cNvPr id="47" name="Text Box 57"/>
        <xdr:cNvSpPr txBox="1">
          <a:spLocks noChangeArrowheads="1"/>
        </xdr:cNvSpPr>
      </xdr:nvSpPr>
      <xdr:spPr>
        <a:xfrm>
          <a:off x="17259300" y="28956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25</xdr:col>
      <xdr:colOff>609600</xdr:colOff>
      <xdr:row>22</xdr:row>
      <xdr:rowOff>114300</xdr:rowOff>
    </xdr:from>
    <xdr:ext cx="114300" cy="180975"/>
    <xdr:sp>
      <xdr:nvSpPr>
        <xdr:cNvPr id="48" name="Text Box 58"/>
        <xdr:cNvSpPr txBox="1">
          <a:spLocks noChangeArrowheads="1"/>
        </xdr:cNvSpPr>
      </xdr:nvSpPr>
      <xdr:spPr>
        <a:xfrm>
          <a:off x="17754600" y="449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24</xdr:col>
      <xdr:colOff>342900</xdr:colOff>
      <xdr:row>12</xdr:row>
      <xdr:rowOff>114300</xdr:rowOff>
    </xdr:from>
    <xdr:to>
      <xdr:col>25</xdr:col>
      <xdr:colOff>38100</xdr:colOff>
      <xdr:row>12</xdr:row>
      <xdr:rowOff>114300</xdr:rowOff>
    </xdr:to>
    <xdr:sp>
      <xdr:nvSpPr>
        <xdr:cNvPr id="49" name="Line 59"/>
        <xdr:cNvSpPr>
          <a:spLocks/>
        </xdr:cNvSpPr>
      </xdr:nvSpPr>
      <xdr:spPr>
        <a:xfrm flipH="1">
          <a:off x="16802100" y="2590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9525</xdr:colOff>
      <xdr:row>12</xdr:row>
      <xdr:rowOff>28575</xdr:rowOff>
    </xdr:from>
    <xdr:ext cx="285750" cy="276225"/>
    <xdr:sp>
      <xdr:nvSpPr>
        <xdr:cNvPr id="50" name="Text Box 60"/>
        <xdr:cNvSpPr txBox="1">
          <a:spLocks noChangeArrowheads="1"/>
        </xdr:cNvSpPr>
      </xdr:nvSpPr>
      <xdr:spPr>
        <a:xfrm>
          <a:off x="16468725" y="2505075"/>
          <a:ext cx="2857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25</xdr:col>
      <xdr:colOff>342900</xdr:colOff>
      <xdr:row>15</xdr:row>
      <xdr:rowOff>133350</xdr:rowOff>
    </xdr:from>
    <xdr:ext cx="276225" cy="276225"/>
    <xdr:sp>
      <xdr:nvSpPr>
        <xdr:cNvPr id="51" name="Text Box 61"/>
        <xdr:cNvSpPr txBox="1">
          <a:spLocks noChangeArrowheads="1"/>
        </xdr:cNvSpPr>
      </xdr:nvSpPr>
      <xdr:spPr>
        <a:xfrm>
          <a:off x="17487900" y="31813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oneCellAnchor>
    <xdr:from>
      <xdr:col>23</xdr:col>
      <xdr:colOff>19050</xdr:colOff>
      <xdr:row>3</xdr:row>
      <xdr:rowOff>171450</xdr:rowOff>
    </xdr:from>
    <xdr:ext cx="276225" cy="276225"/>
    <xdr:sp>
      <xdr:nvSpPr>
        <xdr:cNvPr id="52" name="Text Box 62"/>
        <xdr:cNvSpPr txBox="1">
          <a:spLocks noChangeArrowheads="1"/>
        </xdr:cNvSpPr>
      </xdr:nvSpPr>
      <xdr:spPr>
        <a:xfrm>
          <a:off x="15792450" y="93345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25</xdr:col>
      <xdr:colOff>676275</xdr:colOff>
      <xdr:row>10</xdr:row>
      <xdr:rowOff>180975</xdr:rowOff>
    </xdr:from>
    <xdr:ext cx="285750" cy="285750"/>
    <xdr:sp>
      <xdr:nvSpPr>
        <xdr:cNvPr id="53" name="Text Box 63"/>
        <xdr:cNvSpPr txBox="1">
          <a:spLocks noChangeArrowheads="1"/>
        </xdr:cNvSpPr>
      </xdr:nvSpPr>
      <xdr:spPr>
        <a:xfrm>
          <a:off x="17821275" y="227647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24</xdr:col>
      <xdr:colOff>342900</xdr:colOff>
      <xdr:row>7</xdr:row>
      <xdr:rowOff>104775</xdr:rowOff>
    </xdr:from>
    <xdr:to>
      <xdr:col>24</xdr:col>
      <xdr:colOff>342900</xdr:colOff>
      <xdr:row>12</xdr:row>
      <xdr:rowOff>114300</xdr:rowOff>
    </xdr:to>
    <xdr:sp>
      <xdr:nvSpPr>
        <xdr:cNvPr id="54" name="Line 64"/>
        <xdr:cNvSpPr>
          <a:spLocks/>
        </xdr:cNvSpPr>
      </xdr:nvSpPr>
      <xdr:spPr>
        <a:xfrm flipV="1">
          <a:off x="16802100" y="16287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447675</xdr:colOff>
      <xdr:row>2</xdr:row>
      <xdr:rowOff>47625</xdr:rowOff>
    </xdr:from>
    <xdr:to>
      <xdr:col>26</xdr:col>
      <xdr:colOff>190500</xdr:colOff>
      <xdr:row>3</xdr:row>
      <xdr:rowOff>66675</xdr:rowOff>
    </xdr:to>
    <xdr:sp>
      <xdr:nvSpPr>
        <xdr:cNvPr id="55" name="Text Box 65"/>
        <xdr:cNvSpPr txBox="1">
          <a:spLocks noChangeArrowheads="1"/>
        </xdr:cNvSpPr>
      </xdr:nvSpPr>
      <xdr:spPr>
        <a:xfrm>
          <a:off x="16221075" y="600075"/>
          <a:ext cx="1800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は２Ｆ部屋のﾄｲﾚを想定</a:t>
          </a:r>
        </a:p>
      </xdr:txBody>
    </xdr:sp>
    <xdr:clientData/>
  </xdr:twoCellAnchor>
  <xdr:twoCellAnchor>
    <xdr:from>
      <xdr:col>24</xdr:col>
      <xdr:colOff>28575</xdr:colOff>
      <xdr:row>6</xdr:row>
      <xdr:rowOff>133350</xdr:rowOff>
    </xdr:from>
    <xdr:to>
      <xdr:col>24</xdr:col>
      <xdr:colOff>342900</xdr:colOff>
      <xdr:row>7</xdr:row>
      <xdr:rowOff>95250</xdr:rowOff>
    </xdr:to>
    <xdr:sp>
      <xdr:nvSpPr>
        <xdr:cNvPr id="56" name="Line 66"/>
        <xdr:cNvSpPr>
          <a:spLocks/>
        </xdr:cNvSpPr>
      </xdr:nvSpPr>
      <xdr:spPr>
        <a:xfrm flipH="1" flipV="1">
          <a:off x="16487775" y="146685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</xdr:row>
      <xdr:rowOff>133350</xdr:rowOff>
    </xdr:from>
    <xdr:to>
      <xdr:col>24</xdr:col>
      <xdr:colOff>38100</xdr:colOff>
      <xdr:row>6</xdr:row>
      <xdr:rowOff>142875</xdr:rowOff>
    </xdr:to>
    <xdr:sp>
      <xdr:nvSpPr>
        <xdr:cNvPr id="57" name="Line 67"/>
        <xdr:cNvSpPr>
          <a:spLocks/>
        </xdr:cNvSpPr>
      </xdr:nvSpPr>
      <xdr:spPr>
        <a:xfrm flipV="1">
          <a:off x="16497300" y="10858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4</xdr:row>
      <xdr:rowOff>123825</xdr:rowOff>
    </xdr:from>
    <xdr:to>
      <xdr:col>24</xdr:col>
      <xdr:colOff>28575</xdr:colOff>
      <xdr:row>4</xdr:row>
      <xdr:rowOff>123825</xdr:rowOff>
    </xdr:to>
    <xdr:sp>
      <xdr:nvSpPr>
        <xdr:cNvPr id="58" name="Line 68"/>
        <xdr:cNvSpPr>
          <a:spLocks/>
        </xdr:cNvSpPr>
      </xdr:nvSpPr>
      <xdr:spPr>
        <a:xfrm flipH="1">
          <a:off x="16059150" y="1076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114300</xdr:colOff>
      <xdr:row>3</xdr:row>
      <xdr:rowOff>180975</xdr:rowOff>
    </xdr:from>
    <xdr:ext cx="276225" cy="276225"/>
    <xdr:sp>
      <xdr:nvSpPr>
        <xdr:cNvPr id="59" name="Text Box 69"/>
        <xdr:cNvSpPr txBox="1">
          <a:spLocks noChangeArrowheads="1"/>
        </xdr:cNvSpPr>
      </xdr:nvSpPr>
      <xdr:spPr>
        <a:xfrm>
          <a:off x="16573500" y="9429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</a:p>
      </xdr:txBody>
    </xdr:sp>
    <xdr:clientData/>
  </xdr:oneCellAnchor>
  <xdr:twoCellAnchor>
    <xdr:from>
      <xdr:col>24</xdr:col>
      <xdr:colOff>314325</xdr:colOff>
      <xdr:row>5</xdr:row>
      <xdr:rowOff>114300</xdr:rowOff>
    </xdr:from>
    <xdr:to>
      <xdr:col>25</xdr:col>
      <xdr:colOff>371475</xdr:colOff>
      <xdr:row>6</xdr:row>
      <xdr:rowOff>171450</xdr:rowOff>
    </xdr:to>
    <xdr:sp>
      <xdr:nvSpPr>
        <xdr:cNvPr id="60" name="Text Box 76"/>
        <xdr:cNvSpPr txBox="1">
          <a:spLocks noChangeArrowheads="1"/>
        </xdr:cNvSpPr>
      </xdr:nvSpPr>
      <xdr:spPr>
        <a:xfrm>
          <a:off x="16773525" y="1257300"/>
          <a:ext cx="742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φ20-10</a:t>
          </a:r>
        </a:p>
      </xdr:txBody>
    </xdr:sp>
    <xdr:clientData/>
  </xdr:twoCellAnchor>
  <xdr:twoCellAnchor>
    <xdr:from>
      <xdr:col>25</xdr:col>
      <xdr:colOff>190500</xdr:colOff>
      <xdr:row>19</xdr:row>
      <xdr:rowOff>104775</xdr:rowOff>
    </xdr:from>
    <xdr:to>
      <xdr:col>25</xdr:col>
      <xdr:colOff>447675</xdr:colOff>
      <xdr:row>22</xdr:row>
      <xdr:rowOff>104775</xdr:rowOff>
    </xdr:to>
    <xdr:sp>
      <xdr:nvSpPr>
        <xdr:cNvPr id="61" name="Text Box 77"/>
        <xdr:cNvSpPr txBox="1">
          <a:spLocks noChangeArrowheads="1"/>
        </xdr:cNvSpPr>
      </xdr:nvSpPr>
      <xdr:spPr>
        <a:xfrm>
          <a:off x="17335500" y="3914775"/>
          <a:ext cx="257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φ40-10</a:t>
          </a:r>
        </a:p>
      </xdr:txBody>
    </xdr:sp>
    <xdr:clientData/>
  </xdr:twoCellAnchor>
  <xdr:oneCellAnchor>
    <xdr:from>
      <xdr:col>25</xdr:col>
      <xdr:colOff>304800</xdr:colOff>
      <xdr:row>30</xdr:row>
      <xdr:rowOff>123825</xdr:rowOff>
    </xdr:from>
    <xdr:ext cx="276225" cy="285750"/>
    <xdr:sp>
      <xdr:nvSpPr>
        <xdr:cNvPr id="62" name="Text Box 78"/>
        <xdr:cNvSpPr txBox="1">
          <a:spLocks noChangeArrowheads="1"/>
        </xdr:cNvSpPr>
      </xdr:nvSpPr>
      <xdr:spPr>
        <a:xfrm>
          <a:off x="17449800" y="5972175"/>
          <a:ext cx="276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twoCellAnchor>
    <xdr:from>
      <xdr:col>23</xdr:col>
      <xdr:colOff>9525</xdr:colOff>
      <xdr:row>5</xdr:row>
      <xdr:rowOff>66675</xdr:rowOff>
    </xdr:from>
    <xdr:to>
      <xdr:col>23</xdr:col>
      <xdr:colOff>552450</xdr:colOff>
      <xdr:row>6</xdr:row>
      <xdr:rowOff>47625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15782925" y="120967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φ13-5</a:t>
          </a:r>
        </a:p>
      </xdr:txBody>
    </xdr:sp>
    <xdr:clientData/>
  </xdr:twoCellAnchor>
  <xdr:twoCellAnchor>
    <xdr:from>
      <xdr:col>26</xdr:col>
      <xdr:colOff>314325</xdr:colOff>
      <xdr:row>15</xdr:row>
      <xdr:rowOff>9525</xdr:rowOff>
    </xdr:from>
    <xdr:to>
      <xdr:col>26</xdr:col>
      <xdr:colOff>533400</xdr:colOff>
      <xdr:row>16</xdr:row>
      <xdr:rowOff>38100</xdr:rowOff>
    </xdr:to>
    <xdr:sp>
      <xdr:nvSpPr>
        <xdr:cNvPr id="64" name="Oval 82"/>
        <xdr:cNvSpPr>
          <a:spLocks/>
        </xdr:cNvSpPr>
      </xdr:nvSpPr>
      <xdr:spPr>
        <a:xfrm>
          <a:off x="18145125" y="3057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15</xdr:row>
      <xdr:rowOff>123825</xdr:rowOff>
    </xdr:from>
    <xdr:to>
      <xdr:col>26</xdr:col>
      <xdr:colOff>304800</xdr:colOff>
      <xdr:row>15</xdr:row>
      <xdr:rowOff>123825</xdr:rowOff>
    </xdr:to>
    <xdr:sp>
      <xdr:nvSpPr>
        <xdr:cNvPr id="65" name="Line 83"/>
        <xdr:cNvSpPr>
          <a:spLocks/>
        </xdr:cNvSpPr>
      </xdr:nvSpPr>
      <xdr:spPr>
        <a:xfrm>
          <a:off x="17840325" y="3171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352425</xdr:colOff>
      <xdr:row>15</xdr:row>
      <xdr:rowOff>38100</xdr:rowOff>
    </xdr:from>
    <xdr:ext cx="114300" cy="180975"/>
    <xdr:sp>
      <xdr:nvSpPr>
        <xdr:cNvPr id="66" name="Text Box 81"/>
        <xdr:cNvSpPr txBox="1">
          <a:spLocks noChangeArrowheads="1"/>
        </xdr:cNvSpPr>
      </xdr:nvSpPr>
      <xdr:spPr>
        <a:xfrm>
          <a:off x="18183225" y="30861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twoCellAnchor>
    <xdr:from>
      <xdr:col>0</xdr:col>
      <xdr:colOff>571500</xdr:colOff>
      <xdr:row>29</xdr:row>
      <xdr:rowOff>76200</xdr:rowOff>
    </xdr:from>
    <xdr:to>
      <xdr:col>2</xdr:col>
      <xdr:colOff>190500</xdr:colOff>
      <xdr:row>29</xdr:row>
      <xdr:rowOff>76200</xdr:rowOff>
    </xdr:to>
    <xdr:sp>
      <xdr:nvSpPr>
        <xdr:cNvPr id="67" name="Line 84"/>
        <xdr:cNvSpPr>
          <a:spLocks/>
        </xdr:cNvSpPr>
      </xdr:nvSpPr>
      <xdr:spPr>
        <a:xfrm>
          <a:off x="571500" y="5753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24</xdr:row>
      <xdr:rowOff>28575</xdr:rowOff>
    </xdr:from>
    <xdr:to>
      <xdr:col>1</xdr:col>
      <xdr:colOff>142875</xdr:colOff>
      <xdr:row>29</xdr:row>
      <xdr:rowOff>57150</xdr:rowOff>
    </xdr:to>
    <xdr:sp>
      <xdr:nvSpPr>
        <xdr:cNvPr id="68" name="Line 85"/>
        <xdr:cNvSpPr>
          <a:spLocks/>
        </xdr:cNvSpPr>
      </xdr:nvSpPr>
      <xdr:spPr>
        <a:xfrm flipV="1">
          <a:off x="828675" y="479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28575</xdr:rowOff>
    </xdr:from>
    <xdr:to>
      <xdr:col>1</xdr:col>
      <xdr:colOff>219075</xdr:colOff>
      <xdr:row>24</xdr:row>
      <xdr:rowOff>28575</xdr:rowOff>
    </xdr:to>
    <xdr:sp>
      <xdr:nvSpPr>
        <xdr:cNvPr id="69" name="Line 86"/>
        <xdr:cNvSpPr>
          <a:spLocks/>
        </xdr:cNvSpPr>
      </xdr:nvSpPr>
      <xdr:spPr>
        <a:xfrm flipV="1">
          <a:off x="771525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123825</xdr:rowOff>
    </xdr:from>
    <xdr:to>
      <xdr:col>1</xdr:col>
      <xdr:colOff>209550</xdr:colOff>
      <xdr:row>23</xdr:row>
      <xdr:rowOff>123825</xdr:rowOff>
    </xdr:to>
    <xdr:sp>
      <xdr:nvSpPr>
        <xdr:cNvPr id="70" name="Line 87"/>
        <xdr:cNvSpPr>
          <a:spLocks/>
        </xdr:cNvSpPr>
      </xdr:nvSpPr>
      <xdr:spPr>
        <a:xfrm>
          <a:off x="762000" y="4695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66675</xdr:rowOff>
    </xdr:from>
    <xdr:to>
      <xdr:col>1</xdr:col>
      <xdr:colOff>142875</xdr:colOff>
      <xdr:row>22</xdr:row>
      <xdr:rowOff>38100</xdr:rowOff>
    </xdr:to>
    <xdr:sp>
      <xdr:nvSpPr>
        <xdr:cNvPr id="71" name="Line 88"/>
        <xdr:cNvSpPr>
          <a:spLocks/>
        </xdr:cNvSpPr>
      </xdr:nvSpPr>
      <xdr:spPr>
        <a:xfrm flipV="1">
          <a:off x="828675" y="1209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5</xdr:row>
      <xdr:rowOff>57150</xdr:rowOff>
    </xdr:from>
    <xdr:to>
      <xdr:col>4</xdr:col>
      <xdr:colOff>123825</xdr:colOff>
      <xdr:row>5</xdr:row>
      <xdr:rowOff>57150</xdr:rowOff>
    </xdr:to>
    <xdr:sp>
      <xdr:nvSpPr>
        <xdr:cNvPr id="72" name="Line 89"/>
        <xdr:cNvSpPr>
          <a:spLocks/>
        </xdr:cNvSpPr>
      </xdr:nvSpPr>
      <xdr:spPr>
        <a:xfrm flipH="1">
          <a:off x="819150" y="12001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12</xdr:row>
      <xdr:rowOff>171450</xdr:rowOff>
    </xdr:from>
    <xdr:to>
      <xdr:col>1</xdr:col>
      <xdr:colOff>381000</xdr:colOff>
      <xdr:row>12</xdr:row>
      <xdr:rowOff>171450</xdr:rowOff>
    </xdr:to>
    <xdr:sp>
      <xdr:nvSpPr>
        <xdr:cNvPr id="73" name="Line 92"/>
        <xdr:cNvSpPr>
          <a:spLocks/>
        </xdr:cNvSpPr>
      </xdr:nvSpPr>
      <xdr:spPr>
        <a:xfrm flipV="1">
          <a:off x="838200" y="2647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95250</xdr:rowOff>
    </xdr:from>
    <xdr:to>
      <xdr:col>1</xdr:col>
      <xdr:colOff>238125</xdr:colOff>
      <xdr:row>23</xdr:row>
      <xdr:rowOff>95250</xdr:rowOff>
    </xdr:to>
    <xdr:sp>
      <xdr:nvSpPr>
        <xdr:cNvPr id="74" name="Oval 93"/>
        <xdr:cNvSpPr>
          <a:spLocks noChangeAspect="1"/>
        </xdr:cNvSpPr>
      </xdr:nvSpPr>
      <xdr:spPr>
        <a:xfrm>
          <a:off x="733425" y="447675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76200</xdr:colOff>
      <xdr:row>22</xdr:row>
      <xdr:rowOff>114300</xdr:rowOff>
    </xdr:from>
    <xdr:ext cx="114300" cy="180975"/>
    <xdr:sp>
      <xdr:nvSpPr>
        <xdr:cNvPr id="75" name="Text Box 100"/>
        <xdr:cNvSpPr txBox="1">
          <a:spLocks noChangeArrowheads="1"/>
        </xdr:cNvSpPr>
      </xdr:nvSpPr>
      <xdr:spPr>
        <a:xfrm>
          <a:off x="762000" y="449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0</xdr:col>
      <xdr:colOff>533400</xdr:colOff>
      <xdr:row>9</xdr:row>
      <xdr:rowOff>47625</xdr:rowOff>
    </xdr:from>
    <xdr:ext cx="209550" cy="257175"/>
    <xdr:sp>
      <xdr:nvSpPr>
        <xdr:cNvPr id="76" name="Text Box 103"/>
        <xdr:cNvSpPr txBox="1">
          <a:spLocks noChangeArrowheads="1"/>
        </xdr:cNvSpPr>
      </xdr:nvSpPr>
      <xdr:spPr>
        <a:xfrm>
          <a:off x="533400" y="19526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</a:p>
      </xdr:txBody>
    </xdr:sp>
    <xdr:clientData/>
  </xdr:oneCellAnchor>
  <xdr:oneCellAnchor>
    <xdr:from>
      <xdr:col>1</xdr:col>
      <xdr:colOff>647700</xdr:colOff>
      <xdr:row>6</xdr:row>
      <xdr:rowOff>66675</xdr:rowOff>
    </xdr:from>
    <xdr:ext cx="276225" cy="276225"/>
    <xdr:sp>
      <xdr:nvSpPr>
        <xdr:cNvPr id="77" name="Text Box 104"/>
        <xdr:cNvSpPr txBox="1">
          <a:spLocks noChangeArrowheads="1"/>
        </xdr:cNvSpPr>
      </xdr:nvSpPr>
      <xdr:spPr>
        <a:xfrm>
          <a:off x="1333500" y="14001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4</xdr:col>
      <xdr:colOff>190500</xdr:colOff>
      <xdr:row>3</xdr:row>
      <xdr:rowOff>133350</xdr:rowOff>
    </xdr:from>
    <xdr:ext cx="228600" cy="257175"/>
    <xdr:sp>
      <xdr:nvSpPr>
        <xdr:cNvPr id="78" name="Text Box 105"/>
        <xdr:cNvSpPr txBox="1">
          <a:spLocks noChangeArrowheads="1"/>
        </xdr:cNvSpPr>
      </xdr:nvSpPr>
      <xdr:spPr>
        <a:xfrm>
          <a:off x="2933700" y="89535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1</xdr:col>
      <xdr:colOff>447675</xdr:colOff>
      <xdr:row>2</xdr:row>
      <xdr:rowOff>47625</xdr:rowOff>
    </xdr:from>
    <xdr:to>
      <xdr:col>4</xdr:col>
      <xdr:colOff>171450</xdr:colOff>
      <xdr:row>3</xdr:row>
      <xdr:rowOff>66675</xdr:rowOff>
    </xdr:to>
    <xdr:sp>
      <xdr:nvSpPr>
        <xdr:cNvPr id="79" name="Text Box 107"/>
        <xdr:cNvSpPr txBox="1">
          <a:spLocks noChangeArrowheads="1"/>
        </xdr:cNvSpPr>
      </xdr:nvSpPr>
      <xdr:spPr>
        <a:xfrm>
          <a:off x="1133475" y="600075"/>
          <a:ext cx="1781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は２Ｆ部屋のﾄｲﾚを想定</a:t>
          </a:r>
        </a:p>
      </xdr:txBody>
    </xdr:sp>
    <xdr:clientData/>
  </xdr:twoCellAnchor>
  <xdr:twoCellAnchor>
    <xdr:from>
      <xdr:col>1</xdr:col>
      <xdr:colOff>133350</xdr:colOff>
      <xdr:row>11</xdr:row>
      <xdr:rowOff>19050</xdr:rowOff>
    </xdr:from>
    <xdr:to>
      <xdr:col>1</xdr:col>
      <xdr:colOff>333375</xdr:colOff>
      <xdr:row>11</xdr:row>
      <xdr:rowOff>19050</xdr:rowOff>
    </xdr:to>
    <xdr:sp>
      <xdr:nvSpPr>
        <xdr:cNvPr id="80" name="Line 108"/>
        <xdr:cNvSpPr>
          <a:spLocks/>
        </xdr:cNvSpPr>
      </xdr:nvSpPr>
      <xdr:spPr>
        <a:xfrm flipH="1" flipV="1">
          <a:off x="819150" y="2305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57150</xdr:rowOff>
    </xdr:from>
    <xdr:to>
      <xdr:col>4</xdr:col>
      <xdr:colOff>133350</xdr:colOff>
      <xdr:row>8</xdr:row>
      <xdr:rowOff>76200</xdr:rowOff>
    </xdr:to>
    <xdr:sp>
      <xdr:nvSpPr>
        <xdr:cNvPr id="81" name="Line 109"/>
        <xdr:cNvSpPr>
          <a:spLocks/>
        </xdr:cNvSpPr>
      </xdr:nvSpPr>
      <xdr:spPr>
        <a:xfrm flipV="1">
          <a:off x="2876550" y="12001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7</xdr:row>
      <xdr:rowOff>38100</xdr:rowOff>
    </xdr:from>
    <xdr:to>
      <xdr:col>1</xdr:col>
      <xdr:colOff>600075</xdr:colOff>
      <xdr:row>11</xdr:row>
      <xdr:rowOff>28575</xdr:rowOff>
    </xdr:to>
    <xdr:sp>
      <xdr:nvSpPr>
        <xdr:cNvPr id="82" name="Line 110"/>
        <xdr:cNvSpPr>
          <a:spLocks/>
        </xdr:cNvSpPr>
      </xdr:nvSpPr>
      <xdr:spPr>
        <a:xfrm flipH="1">
          <a:off x="1019175" y="1562100"/>
          <a:ext cx="266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504825</xdr:colOff>
      <xdr:row>12</xdr:row>
      <xdr:rowOff>47625</xdr:rowOff>
    </xdr:from>
    <xdr:ext cx="276225" cy="276225"/>
    <xdr:sp>
      <xdr:nvSpPr>
        <xdr:cNvPr id="83" name="Text Box 111"/>
        <xdr:cNvSpPr txBox="1">
          <a:spLocks noChangeArrowheads="1"/>
        </xdr:cNvSpPr>
      </xdr:nvSpPr>
      <xdr:spPr>
        <a:xfrm>
          <a:off x="1190625" y="25241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oneCellAnchor>
  <xdr:twoCellAnchor>
    <xdr:from>
      <xdr:col>2</xdr:col>
      <xdr:colOff>561975</xdr:colOff>
      <xdr:row>3</xdr:row>
      <xdr:rowOff>161925</xdr:rowOff>
    </xdr:from>
    <xdr:to>
      <xdr:col>3</xdr:col>
      <xdr:colOff>504825</xdr:colOff>
      <xdr:row>4</xdr:row>
      <xdr:rowOff>180975</xdr:rowOff>
    </xdr:to>
    <xdr:sp>
      <xdr:nvSpPr>
        <xdr:cNvPr id="84" name="Text Box 118"/>
        <xdr:cNvSpPr txBox="1">
          <a:spLocks noChangeArrowheads="1"/>
        </xdr:cNvSpPr>
      </xdr:nvSpPr>
      <xdr:spPr>
        <a:xfrm>
          <a:off x="1933575" y="923925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φ20-6</a:t>
          </a:r>
        </a:p>
      </xdr:txBody>
    </xdr:sp>
    <xdr:clientData/>
  </xdr:twoCellAnchor>
  <xdr:oneCellAnchor>
    <xdr:from>
      <xdr:col>0</xdr:col>
      <xdr:colOff>342900</xdr:colOff>
      <xdr:row>22</xdr:row>
      <xdr:rowOff>104775</xdr:rowOff>
    </xdr:from>
    <xdr:ext cx="276225" cy="238125"/>
    <xdr:sp>
      <xdr:nvSpPr>
        <xdr:cNvPr id="85" name="Text Box 120"/>
        <xdr:cNvSpPr txBox="1">
          <a:spLocks noChangeArrowheads="1"/>
        </xdr:cNvSpPr>
      </xdr:nvSpPr>
      <xdr:spPr>
        <a:xfrm>
          <a:off x="342900" y="44862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エ</a:t>
          </a:r>
        </a:p>
      </xdr:txBody>
    </xdr:sp>
    <xdr:clientData/>
  </xdr:oneCellAnchor>
  <xdr:twoCellAnchor>
    <xdr:from>
      <xdr:col>1</xdr:col>
      <xdr:colOff>552450</xdr:colOff>
      <xdr:row>8</xdr:row>
      <xdr:rowOff>57150</xdr:rowOff>
    </xdr:from>
    <xdr:to>
      <xdr:col>2</xdr:col>
      <xdr:colOff>676275</xdr:colOff>
      <xdr:row>10</xdr:row>
      <xdr:rowOff>66675</xdr:rowOff>
    </xdr:to>
    <xdr:sp>
      <xdr:nvSpPr>
        <xdr:cNvPr id="86" name="Text Box 122"/>
        <xdr:cNvSpPr txBox="1">
          <a:spLocks noChangeArrowheads="1"/>
        </xdr:cNvSpPr>
      </xdr:nvSpPr>
      <xdr:spPr>
        <a:xfrm>
          <a:off x="1238250" y="1771650"/>
          <a:ext cx="8096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φ13-6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内立管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-3.5)</a:t>
          </a:r>
        </a:p>
      </xdr:txBody>
    </xdr:sp>
    <xdr:clientData/>
  </xdr:twoCellAnchor>
  <xdr:twoCellAnchor>
    <xdr:from>
      <xdr:col>1</xdr:col>
      <xdr:colOff>76200</xdr:colOff>
      <xdr:row>23</xdr:row>
      <xdr:rowOff>123825</xdr:rowOff>
    </xdr:from>
    <xdr:to>
      <xdr:col>1</xdr:col>
      <xdr:colOff>228600</xdr:colOff>
      <xdr:row>24</xdr:row>
      <xdr:rowOff>28575</xdr:rowOff>
    </xdr:to>
    <xdr:sp>
      <xdr:nvSpPr>
        <xdr:cNvPr id="87" name="Line 126"/>
        <xdr:cNvSpPr>
          <a:spLocks/>
        </xdr:cNvSpPr>
      </xdr:nvSpPr>
      <xdr:spPr>
        <a:xfrm>
          <a:off x="762000" y="469582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23</xdr:row>
      <xdr:rowOff>114300</xdr:rowOff>
    </xdr:from>
    <xdr:to>
      <xdr:col>1</xdr:col>
      <xdr:colOff>209550</xdr:colOff>
      <xdr:row>24</xdr:row>
      <xdr:rowOff>28575</xdr:rowOff>
    </xdr:to>
    <xdr:sp>
      <xdr:nvSpPr>
        <xdr:cNvPr id="88" name="Line 127"/>
        <xdr:cNvSpPr>
          <a:spLocks/>
        </xdr:cNvSpPr>
      </xdr:nvSpPr>
      <xdr:spPr>
        <a:xfrm flipV="1">
          <a:off x="762000" y="468630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238125</xdr:colOff>
      <xdr:row>7</xdr:row>
      <xdr:rowOff>9525</xdr:rowOff>
    </xdr:from>
    <xdr:ext cx="285750" cy="285750"/>
    <xdr:sp>
      <xdr:nvSpPr>
        <xdr:cNvPr id="89" name="Text Box 129"/>
        <xdr:cNvSpPr txBox="1">
          <a:spLocks noChangeArrowheads="1"/>
        </xdr:cNvSpPr>
      </xdr:nvSpPr>
      <xdr:spPr>
        <a:xfrm>
          <a:off x="2981325" y="15335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
</a:t>
          </a:r>
        </a:p>
      </xdr:txBody>
    </xdr:sp>
    <xdr:clientData/>
  </xdr:oneCellAnchor>
  <xdr:twoCellAnchor>
    <xdr:from>
      <xdr:col>4</xdr:col>
      <xdr:colOff>219075</xdr:colOff>
      <xdr:row>5</xdr:row>
      <xdr:rowOff>133350</xdr:rowOff>
    </xdr:from>
    <xdr:to>
      <xdr:col>5</xdr:col>
      <xdr:colOff>161925</xdr:colOff>
      <xdr:row>6</xdr:row>
      <xdr:rowOff>152400</xdr:rowOff>
    </xdr:to>
    <xdr:sp>
      <xdr:nvSpPr>
        <xdr:cNvPr id="90" name="Text Box 131"/>
        <xdr:cNvSpPr txBox="1">
          <a:spLocks noChangeArrowheads="1"/>
        </xdr:cNvSpPr>
      </xdr:nvSpPr>
      <xdr:spPr>
        <a:xfrm>
          <a:off x="2962275" y="127635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φ13-2.5</a:t>
          </a:r>
        </a:p>
      </xdr:txBody>
    </xdr:sp>
    <xdr:clientData/>
  </xdr:twoCellAnchor>
  <xdr:twoCellAnchor>
    <xdr:from>
      <xdr:col>1</xdr:col>
      <xdr:colOff>400050</xdr:colOff>
      <xdr:row>22</xdr:row>
      <xdr:rowOff>152400</xdr:rowOff>
    </xdr:from>
    <xdr:to>
      <xdr:col>2</xdr:col>
      <xdr:colOff>523875</xdr:colOff>
      <xdr:row>24</xdr:row>
      <xdr:rowOff>19050</xdr:rowOff>
    </xdr:to>
    <xdr:sp>
      <xdr:nvSpPr>
        <xdr:cNvPr id="91" name="Text Box 132"/>
        <xdr:cNvSpPr txBox="1">
          <a:spLocks noChangeArrowheads="1"/>
        </xdr:cNvSpPr>
      </xdr:nvSpPr>
      <xdr:spPr>
        <a:xfrm>
          <a:off x="1085850" y="4533900"/>
          <a:ext cx="809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量水器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φ13</a:t>
          </a:r>
        </a:p>
      </xdr:txBody>
    </xdr:sp>
    <xdr:clientData/>
  </xdr:twoCellAnchor>
  <xdr:twoCellAnchor>
    <xdr:from>
      <xdr:col>0</xdr:col>
      <xdr:colOff>523875</xdr:colOff>
      <xdr:row>15</xdr:row>
      <xdr:rowOff>85725</xdr:rowOff>
    </xdr:from>
    <xdr:to>
      <xdr:col>1</xdr:col>
      <xdr:colOff>57150</xdr:colOff>
      <xdr:row>17</xdr:row>
      <xdr:rowOff>180975</xdr:rowOff>
    </xdr:to>
    <xdr:sp>
      <xdr:nvSpPr>
        <xdr:cNvPr id="92" name="Text Box 133"/>
        <xdr:cNvSpPr txBox="1">
          <a:spLocks noChangeArrowheads="1"/>
        </xdr:cNvSpPr>
      </xdr:nvSpPr>
      <xdr:spPr>
        <a:xfrm>
          <a:off x="523875" y="3133725"/>
          <a:ext cx="219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φ20-8</a:t>
          </a:r>
        </a:p>
      </xdr:txBody>
    </xdr:sp>
    <xdr:clientData/>
  </xdr:twoCellAnchor>
  <xdr:twoCellAnchor>
    <xdr:from>
      <xdr:col>1</xdr:col>
      <xdr:colOff>200025</xdr:colOff>
      <xdr:row>26</xdr:row>
      <xdr:rowOff>19050</xdr:rowOff>
    </xdr:from>
    <xdr:to>
      <xdr:col>2</xdr:col>
      <xdr:colOff>152400</xdr:colOff>
      <xdr:row>27</xdr:row>
      <xdr:rowOff>76200</xdr:rowOff>
    </xdr:to>
    <xdr:sp>
      <xdr:nvSpPr>
        <xdr:cNvPr id="93" name="Text Box 134"/>
        <xdr:cNvSpPr txBox="1">
          <a:spLocks noChangeArrowheads="1"/>
        </xdr:cNvSpPr>
      </xdr:nvSpPr>
      <xdr:spPr>
        <a:xfrm>
          <a:off x="885825" y="5162550"/>
          <a:ext cx="638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φ20-5</a:t>
          </a:r>
        </a:p>
      </xdr:txBody>
    </xdr:sp>
    <xdr:clientData/>
  </xdr:twoCellAnchor>
  <xdr:twoCellAnchor>
    <xdr:from>
      <xdr:col>0</xdr:col>
      <xdr:colOff>514350</xdr:colOff>
      <xdr:row>6</xdr:row>
      <xdr:rowOff>104775</xdr:rowOff>
    </xdr:from>
    <xdr:to>
      <xdr:col>1</xdr:col>
      <xdr:colOff>47625</xdr:colOff>
      <xdr:row>9</xdr:row>
      <xdr:rowOff>9525</xdr:rowOff>
    </xdr:to>
    <xdr:sp>
      <xdr:nvSpPr>
        <xdr:cNvPr id="94" name="Text Box 135"/>
        <xdr:cNvSpPr txBox="1">
          <a:spLocks noChangeArrowheads="1"/>
        </xdr:cNvSpPr>
      </xdr:nvSpPr>
      <xdr:spPr>
        <a:xfrm>
          <a:off x="514350" y="1438275"/>
          <a:ext cx="219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twoCellAnchor>
    <xdr:from>
      <xdr:col>0</xdr:col>
      <xdr:colOff>504825</xdr:colOff>
      <xdr:row>10</xdr:row>
      <xdr:rowOff>85725</xdr:rowOff>
    </xdr:from>
    <xdr:to>
      <xdr:col>1</xdr:col>
      <xdr:colOff>57150</xdr:colOff>
      <xdr:row>13</xdr:row>
      <xdr:rowOff>114300</xdr:rowOff>
    </xdr:to>
    <xdr:sp>
      <xdr:nvSpPr>
        <xdr:cNvPr id="95" name="Text Box 136"/>
        <xdr:cNvSpPr txBox="1">
          <a:spLocks noChangeArrowheads="1"/>
        </xdr:cNvSpPr>
      </xdr:nvSpPr>
      <xdr:spPr>
        <a:xfrm>
          <a:off x="504825" y="2181225"/>
          <a:ext cx="2381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φ20-1.5</a:t>
          </a:r>
        </a:p>
      </xdr:txBody>
    </xdr:sp>
    <xdr:clientData/>
  </xdr:twoCellAnchor>
  <xdr:twoCellAnchor>
    <xdr:from>
      <xdr:col>24</xdr:col>
      <xdr:colOff>47625</xdr:colOff>
      <xdr:row>13</xdr:row>
      <xdr:rowOff>95250</xdr:rowOff>
    </xdr:from>
    <xdr:to>
      <xdr:col>25</xdr:col>
      <xdr:colOff>9525</xdr:colOff>
      <xdr:row>14</xdr:row>
      <xdr:rowOff>152400</xdr:rowOff>
    </xdr:to>
    <xdr:sp>
      <xdr:nvSpPr>
        <xdr:cNvPr id="96" name="Text Box 138"/>
        <xdr:cNvSpPr txBox="1">
          <a:spLocks noChangeArrowheads="1"/>
        </xdr:cNvSpPr>
      </xdr:nvSpPr>
      <xdr:spPr>
        <a:xfrm>
          <a:off x="16506825" y="2762250"/>
          <a:ext cx="64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twoCellAnchor>
    <xdr:from>
      <xdr:col>26</xdr:col>
      <xdr:colOff>676275</xdr:colOff>
      <xdr:row>12</xdr:row>
      <xdr:rowOff>47625</xdr:rowOff>
    </xdr:from>
    <xdr:to>
      <xdr:col>27</xdr:col>
      <xdr:colOff>247650</xdr:colOff>
      <xdr:row>15</xdr:row>
      <xdr:rowOff>47625</xdr:rowOff>
    </xdr:to>
    <xdr:sp>
      <xdr:nvSpPr>
        <xdr:cNvPr id="97" name="Text Box 139"/>
        <xdr:cNvSpPr txBox="1">
          <a:spLocks noChangeArrowheads="1"/>
        </xdr:cNvSpPr>
      </xdr:nvSpPr>
      <xdr:spPr>
        <a:xfrm>
          <a:off x="18507075" y="2524125"/>
          <a:ext cx="257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φ40-3</a:t>
          </a:r>
        </a:p>
      </xdr:txBody>
    </xdr:sp>
    <xdr:clientData/>
  </xdr:twoCellAnchor>
  <xdr:twoCellAnchor>
    <xdr:from>
      <xdr:col>25</xdr:col>
      <xdr:colOff>114300</xdr:colOff>
      <xdr:row>8</xdr:row>
      <xdr:rowOff>28575</xdr:rowOff>
    </xdr:from>
    <xdr:to>
      <xdr:col>25</xdr:col>
      <xdr:colOff>466725</xdr:colOff>
      <xdr:row>11</xdr:row>
      <xdr:rowOff>142875</xdr:rowOff>
    </xdr:to>
    <xdr:sp>
      <xdr:nvSpPr>
        <xdr:cNvPr id="98" name="Text Box 140"/>
        <xdr:cNvSpPr txBox="1">
          <a:spLocks noChangeArrowheads="1"/>
        </xdr:cNvSpPr>
      </xdr:nvSpPr>
      <xdr:spPr>
        <a:xfrm>
          <a:off x="17259300" y="1743075"/>
          <a:ext cx="3524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施設量水器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φ13</a:t>
          </a:r>
        </a:p>
      </xdr:txBody>
    </xdr:sp>
    <xdr:clientData/>
  </xdr:twoCellAnchor>
  <xdr:oneCellAnchor>
    <xdr:from>
      <xdr:col>0</xdr:col>
      <xdr:colOff>647700</xdr:colOff>
      <xdr:row>30</xdr:row>
      <xdr:rowOff>9525</xdr:rowOff>
    </xdr:from>
    <xdr:ext cx="228600" cy="238125"/>
    <xdr:sp>
      <xdr:nvSpPr>
        <xdr:cNvPr id="99" name="Text Box 141"/>
        <xdr:cNvSpPr txBox="1">
          <a:spLocks noChangeArrowheads="1"/>
        </xdr:cNvSpPr>
      </xdr:nvSpPr>
      <xdr:spPr>
        <a:xfrm>
          <a:off x="647700" y="585787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twoCellAnchor>
    <xdr:from>
      <xdr:col>17</xdr:col>
      <xdr:colOff>57150</xdr:colOff>
      <xdr:row>8</xdr:row>
      <xdr:rowOff>66675</xdr:rowOff>
    </xdr:from>
    <xdr:to>
      <xdr:col>17</xdr:col>
      <xdr:colOff>409575</xdr:colOff>
      <xdr:row>11</xdr:row>
      <xdr:rowOff>104775</xdr:rowOff>
    </xdr:to>
    <xdr:sp>
      <xdr:nvSpPr>
        <xdr:cNvPr id="100" name="Text Box 142"/>
        <xdr:cNvSpPr txBox="1">
          <a:spLocks noChangeArrowheads="1"/>
        </xdr:cNvSpPr>
      </xdr:nvSpPr>
      <xdr:spPr>
        <a:xfrm>
          <a:off x="11715750" y="1781175"/>
          <a:ext cx="3524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量水器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φ13</a:t>
          </a:r>
        </a:p>
      </xdr:txBody>
    </xdr:sp>
    <xdr:clientData/>
  </xdr:twoCellAnchor>
  <xdr:twoCellAnchor>
    <xdr:from>
      <xdr:col>25</xdr:col>
      <xdr:colOff>609600</xdr:colOff>
      <xdr:row>21</xdr:row>
      <xdr:rowOff>57150</xdr:rowOff>
    </xdr:from>
    <xdr:to>
      <xdr:col>26</xdr:col>
      <xdr:colOff>66675</xdr:colOff>
      <xdr:row>21</xdr:row>
      <xdr:rowOff>57150</xdr:rowOff>
    </xdr:to>
    <xdr:sp>
      <xdr:nvSpPr>
        <xdr:cNvPr id="101" name="Line 143"/>
        <xdr:cNvSpPr>
          <a:spLocks/>
        </xdr:cNvSpPr>
      </xdr:nvSpPr>
      <xdr:spPr>
        <a:xfrm>
          <a:off x="17754600" y="42481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21</xdr:row>
      <xdr:rowOff>142875</xdr:rowOff>
    </xdr:from>
    <xdr:to>
      <xdr:col>26</xdr:col>
      <xdr:colOff>76200</xdr:colOff>
      <xdr:row>21</xdr:row>
      <xdr:rowOff>142875</xdr:rowOff>
    </xdr:to>
    <xdr:sp>
      <xdr:nvSpPr>
        <xdr:cNvPr id="102" name="Line 144"/>
        <xdr:cNvSpPr>
          <a:spLocks/>
        </xdr:cNvSpPr>
      </xdr:nvSpPr>
      <xdr:spPr>
        <a:xfrm>
          <a:off x="17764125" y="43338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21</xdr:row>
      <xdr:rowOff>66675</xdr:rowOff>
    </xdr:from>
    <xdr:to>
      <xdr:col>26</xdr:col>
      <xdr:colOff>76200</xdr:colOff>
      <xdr:row>21</xdr:row>
      <xdr:rowOff>152400</xdr:rowOff>
    </xdr:to>
    <xdr:sp>
      <xdr:nvSpPr>
        <xdr:cNvPr id="103" name="Line 145"/>
        <xdr:cNvSpPr>
          <a:spLocks/>
        </xdr:cNvSpPr>
      </xdr:nvSpPr>
      <xdr:spPr>
        <a:xfrm>
          <a:off x="17764125" y="4257675"/>
          <a:ext cx="1428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619125</xdr:colOff>
      <xdr:row>21</xdr:row>
      <xdr:rowOff>57150</xdr:rowOff>
    </xdr:from>
    <xdr:to>
      <xdr:col>26</xdr:col>
      <xdr:colOff>76200</xdr:colOff>
      <xdr:row>21</xdr:row>
      <xdr:rowOff>152400</xdr:rowOff>
    </xdr:to>
    <xdr:sp>
      <xdr:nvSpPr>
        <xdr:cNvPr id="104" name="Line 146"/>
        <xdr:cNvSpPr>
          <a:spLocks/>
        </xdr:cNvSpPr>
      </xdr:nvSpPr>
      <xdr:spPr>
        <a:xfrm flipH="1">
          <a:off x="17764125" y="4248150"/>
          <a:ext cx="1428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20</xdr:row>
      <xdr:rowOff>142875</xdr:rowOff>
    </xdr:from>
    <xdr:to>
      <xdr:col>17</xdr:col>
      <xdr:colOff>561975</xdr:colOff>
      <xdr:row>23</xdr:row>
      <xdr:rowOff>142875</xdr:rowOff>
    </xdr:to>
    <xdr:sp>
      <xdr:nvSpPr>
        <xdr:cNvPr id="105" name="Text Box 147"/>
        <xdr:cNvSpPr txBox="1">
          <a:spLocks noChangeArrowheads="1"/>
        </xdr:cNvSpPr>
      </xdr:nvSpPr>
      <xdr:spPr>
        <a:xfrm>
          <a:off x="11963400" y="4143375"/>
          <a:ext cx="257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φ40-10</a:t>
          </a:r>
        </a:p>
      </xdr:txBody>
    </xdr:sp>
    <xdr:clientData/>
  </xdr:twoCellAnchor>
  <xdr:twoCellAnchor>
    <xdr:from>
      <xdr:col>18</xdr:col>
      <xdr:colOff>647700</xdr:colOff>
      <xdr:row>13</xdr:row>
      <xdr:rowOff>57150</xdr:rowOff>
    </xdr:from>
    <xdr:to>
      <xdr:col>19</xdr:col>
      <xdr:colOff>219075</xdr:colOff>
      <xdr:row>16</xdr:row>
      <xdr:rowOff>57150</xdr:rowOff>
    </xdr:to>
    <xdr:sp>
      <xdr:nvSpPr>
        <xdr:cNvPr id="106" name="Text Box 148"/>
        <xdr:cNvSpPr txBox="1">
          <a:spLocks noChangeArrowheads="1"/>
        </xdr:cNvSpPr>
      </xdr:nvSpPr>
      <xdr:spPr>
        <a:xfrm>
          <a:off x="12992100" y="2724150"/>
          <a:ext cx="2571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φ40-3</a:t>
          </a:r>
        </a:p>
      </xdr:txBody>
    </xdr:sp>
    <xdr:clientData/>
  </xdr:twoCellAnchor>
  <xdr:twoCellAnchor>
    <xdr:from>
      <xdr:col>16</xdr:col>
      <xdr:colOff>19050</xdr:colOff>
      <xdr:row>13</xdr:row>
      <xdr:rowOff>57150</xdr:rowOff>
    </xdr:from>
    <xdr:to>
      <xdr:col>16</xdr:col>
      <xdr:colOff>666750</xdr:colOff>
      <xdr:row>14</xdr:row>
      <xdr:rowOff>114300</xdr:rowOff>
    </xdr:to>
    <xdr:sp>
      <xdr:nvSpPr>
        <xdr:cNvPr id="107" name="Text Box 149"/>
        <xdr:cNvSpPr txBox="1">
          <a:spLocks noChangeArrowheads="1"/>
        </xdr:cNvSpPr>
      </xdr:nvSpPr>
      <xdr:spPr>
        <a:xfrm>
          <a:off x="10991850" y="2724150"/>
          <a:ext cx="647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twoCellAnchor>
    <xdr:from>
      <xdr:col>16</xdr:col>
      <xdr:colOff>257175</xdr:colOff>
      <xdr:row>5</xdr:row>
      <xdr:rowOff>66675</xdr:rowOff>
    </xdr:from>
    <xdr:to>
      <xdr:col>17</xdr:col>
      <xdr:colOff>314325</xdr:colOff>
      <xdr:row>6</xdr:row>
      <xdr:rowOff>123825</xdr:rowOff>
    </xdr:to>
    <xdr:sp>
      <xdr:nvSpPr>
        <xdr:cNvPr id="108" name="Text Box 150"/>
        <xdr:cNvSpPr txBox="1">
          <a:spLocks noChangeArrowheads="1"/>
        </xdr:cNvSpPr>
      </xdr:nvSpPr>
      <xdr:spPr>
        <a:xfrm>
          <a:off x="11229975" y="1209675"/>
          <a:ext cx="7429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φ20-10</a:t>
          </a:r>
        </a:p>
      </xdr:txBody>
    </xdr:sp>
    <xdr:clientData/>
  </xdr:twoCellAnchor>
  <xdr:twoCellAnchor>
    <xdr:from>
      <xdr:col>15</xdr:col>
      <xdr:colOff>19050</xdr:colOff>
      <xdr:row>5</xdr:row>
      <xdr:rowOff>85725</xdr:rowOff>
    </xdr:from>
    <xdr:to>
      <xdr:col>15</xdr:col>
      <xdr:colOff>561975</xdr:colOff>
      <xdr:row>6</xdr:row>
      <xdr:rowOff>66675</xdr:rowOff>
    </xdr:to>
    <xdr:sp>
      <xdr:nvSpPr>
        <xdr:cNvPr id="109" name="Text Box 151"/>
        <xdr:cNvSpPr txBox="1">
          <a:spLocks noChangeArrowheads="1"/>
        </xdr:cNvSpPr>
      </xdr:nvSpPr>
      <xdr:spPr>
        <a:xfrm>
          <a:off x="10306050" y="1228725"/>
          <a:ext cx="542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φ13-5</a:t>
          </a:r>
        </a:p>
      </xdr:txBody>
    </xdr:sp>
    <xdr:clientData/>
  </xdr:twoCellAnchor>
  <xdr:twoCellAnchor>
    <xdr:from>
      <xdr:col>8</xdr:col>
      <xdr:colOff>19050</xdr:colOff>
      <xdr:row>22</xdr:row>
      <xdr:rowOff>47625</xdr:rowOff>
    </xdr:from>
    <xdr:to>
      <xdr:col>8</xdr:col>
      <xdr:colOff>276225</xdr:colOff>
      <xdr:row>24</xdr:row>
      <xdr:rowOff>57150</xdr:rowOff>
    </xdr:to>
    <xdr:sp>
      <xdr:nvSpPr>
        <xdr:cNvPr id="110" name="Rectangle 152"/>
        <xdr:cNvSpPr>
          <a:spLocks/>
        </xdr:cNvSpPr>
      </xdr:nvSpPr>
      <xdr:spPr>
        <a:xfrm>
          <a:off x="5505450" y="4429125"/>
          <a:ext cx="2571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571500</xdr:colOff>
      <xdr:row>29</xdr:row>
      <xdr:rowOff>76200</xdr:rowOff>
    </xdr:from>
    <xdr:to>
      <xdr:col>9</xdr:col>
      <xdr:colOff>190500</xdr:colOff>
      <xdr:row>29</xdr:row>
      <xdr:rowOff>76200</xdr:rowOff>
    </xdr:to>
    <xdr:sp>
      <xdr:nvSpPr>
        <xdr:cNvPr id="111" name="Line 153"/>
        <xdr:cNvSpPr>
          <a:spLocks/>
        </xdr:cNvSpPr>
      </xdr:nvSpPr>
      <xdr:spPr>
        <a:xfrm>
          <a:off x="5372100" y="5753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24</xdr:row>
      <xdr:rowOff>28575</xdr:rowOff>
    </xdr:from>
    <xdr:to>
      <xdr:col>8</xdr:col>
      <xdr:colOff>142875</xdr:colOff>
      <xdr:row>29</xdr:row>
      <xdr:rowOff>57150</xdr:rowOff>
    </xdr:to>
    <xdr:sp>
      <xdr:nvSpPr>
        <xdr:cNvPr id="112" name="Line 154"/>
        <xdr:cNvSpPr>
          <a:spLocks/>
        </xdr:cNvSpPr>
      </xdr:nvSpPr>
      <xdr:spPr>
        <a:xfrm flipV="1">
          <a:off x="5629275" y="47910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28575</xdr:rowOff>
    </xdr:from>
    <xdr:to>
      <xdr:col>8</xdr:col>
      <xdr:colOff>219075</xdr:colOff>
      <xdr:row>24</xdr:row>
      <xdr:rowOff>28575</xdr:rowOff>
    </xdr:to>
    <xdr:sp>
      <xdr:nvSpPr>
        <xdr:cNvPr id="113" name="Line 155"/>
        <xdr:cNvSpPr>
          <a:spLocks/>
        </xdr:cNvSpPr>
      </xdr:nvSpPr>
      <xdr:spPr>
        <a:xfrm flipV="1">
          <a:off x="5572125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123825</xdr:rowOff>
    </xdr:from>
    <xdr:to>
      <xdr:col>8</xdr:col>
      <xdr:colOff>209550</xdr:colOff>
      <xdr:row>23</xdr:row>
      <xdr:rowOff>123825</xdr:rowOff>
    </xdr:to>
    <xdr:sp>
      <xdr:nvSpPr>
        <xdr:cNvPr id="114" name="Line 156"/>
        <xdr:cNvSpPr>
          <a:spLocks/>
        </xdr:cNvSpPr>
      </xdr:nvSpPr>
      <xdr:spPr>
        <a:xfrm>
          <a:off x="5562600" y="46958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5</xdr:row>
      <xdr:rowOff>66675</xdr:rowOff>
    </xdr:from>
    <xdr:to>
      <xdr:col>8</xdr:col>
      <xdr:colOff>142875</xdr:colOff>
      <xdr:row>22</xdr:row>
      <xdr:rowOff>38100</xdr:rowOff>
    </xdr:to>
    <xdr:sp>
      <xdr:nvSpPr>
        <xdr:cNvPr id="115" name="Line 157"/>
        <xdr:cNvSpPr>
          <a:spLocks/>
        </xdr:cNvSpPr>
      </xdr:nvSpPr>
      <xdr:spPr>
        <a:xfrm flipV="1">
          <a:off x="5629275" y="1209675"/>
          <a:ext cx="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5</xdr:row>
      <xdr:rowOff>57150</xdr:rowOff>
    </xdr:from>
    <xdr:to>
      <xdr:col>11</xdr:col>
      <xdr:colOff>123825</xdr:colOff>
      <xdr:row>5</xdr:row>
      <xdr:rowOff>57150</xdr:rowOff>
    </xdr:to>
    <xdr:sp>
      <xdr:nvSpPr>
        <xdr:cNvPr id="116" name="Line 158"/>
        <xdr:cNvSpPr>
          <a:spLocks/>
        </xdr:cNvSpPr>
      </xdr:nvSpPr>
      <xdr:spPr>
        <a:xfrm flipH="1">
          <a:off x="5619750" y="1200150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12</xdr:row>
      <xdr:rowOff>171450</xdr:rowOff>
    </xdr:from>
    <xdr:to>
      <xdr:col>8</xdr:col>
      <xdr:colOff>381000</xdr:colOff>
      <xdr:row>12</xdr:row>
      <xdr:rowOff>171450</xdr:rowOff>
    </xdr:to>
    <xdr:sp>
      <xdr:nvSpPr>
        <xdr:cNvPr id="117" name="Line 159"/>
        <xdr:cNvSpPr>
          <a:spLocks/>
        </xdr:cNvSpPr>
      </xdr:nvSpPr>
      <xdr:spPr>
        <a:xfrm flipV="1">
          <a:off x="5638800" y="2647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22</xdr:row>
      <xdr:rowOff>95250</xdr:rowOff>
    </xdr:from>
    <xdr:to>
      <xdr:col>8</xdr:col>
      <xdr:colOff>238125</xdr:colOff>
      <xdr:row>23</xdr:row>
      <xdr:rowOff>95250</xdr:rowOff>
    </xdr:to>
    <xdr:sp>
      <xdr:nvSpPr>
        <xdr:cNvPr id="118" name="Oval 160"/>
        <xdr:cNvSpPr>
          <a:spLocks noChangeAspect="1"/>
        </xdr:cNvSpPr>
      </xdr:nvSpPr>
      <xdr:spPr>
        <a:xfrm>
          <a:off x="5534025" y="447675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76200</xdr:colOff>
      <xdr:row>22</xdr:row>
      <xdr:rowOff>114300</xdr:rowOff>
    </xdr:from>
    <xdr:ext cx="114300" cy="180975"/>
    <xdr:sp>
      <xdr:nvSpPr>
        <xdr:cNvPr id="119" name="Text Box 161"/>
        <xdr:cNvSpPr txBox="1">
          <a:spLocks noChangeArrowheads="1"/>
        </xdr:cNvSpPr>
      </xdr:nvSpPr>
      <xdr:spPr>
        <a:xfrm>
          <a:off x="5562600" y="44958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</a:p>
      </xdr:txBody>
    </xdr:sp>
    <xdr:clientData/>
  </xdr:oneCellAnchor>
  <xdr:oneCellAnchor>
    <xdr:from>
      <xdr:col>7</xdr:col>
      <xdr:colOff>533400</xdr:colOff>
      <xdr:row>9</xdr:row>
      <xdr:rowOff>47625</xdr:rowOff>
    </xdr:from>
    <xdr:ext cx="209550" cy="257175"/>
    <xdr:sp>
      <xdr:nvSpPr>
        <xdr:cNvPr id="120" name="Text Box 162"/>
        <xdr:cNvSpPr txBox="1">
          <a:spLocks noChangeArrowheads="1"/>
        </xdr:cNvSpPr>
      </xdr:nvSpPr>
      <xdr:spPr>
        <a:xfrm>
          <a:off x="5334000" y="19526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oneCellAnchor>
    <xdr:from>
      <xdr:col>8</xdr:col>
      <xdr:colOff>647700</xdr:colOff>
      <xdr:row>6</xdr:row>
      <xdr:rowOff>66675</xdr:rowOff>
    </xdr:from>
    <xdr:ext cx="276225" cy="276225"/>
    <xdr:sp>
      <xdr:nvSpPr>
        <xdr:cNvPr id="121" name="Text Box 163"/>
        <xdr:cNvSpPr txBox="1">
          <a:spLocks noChangeArrowheads="1"/>
        </xdr:cNvSpPr>
      </xdr:nvSpPr>
      <xdr:spPr>
        <a:xfrm>
          <a:off x="6134100" y="140017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</a:p>
      </xdr:txBody>
    </xdr:sp>
    <xdr:clientData/>
  </xdr:oneCellAnchor>
  <xdr:oneCellAnchor>
    <xdr:from>
      <xdr:col>11</xdr:col>
      <xdr:colOff>190500</xdr:colOff>
      <xdr:row>3</xdr:row>
      <xdr:rowOff>133350</xdr:rowOff>
    </xdr:from>
    <xdr:ext cx="266700" cy="257175"/>
    <xdr:sp>
      <xdr:nvSpPr>
        <xdr:cNvPr id="122" name="Text Box 164"/>
        <xdr:cNvSpPr txBox="1">
          <a:spLocks noChangeArrowheads="1"/>
        </xdr:cNvSpPr>
      </xdr:nvSpPr>
      <xdr:spPr>
        <a:xfrm>
          <a:off x="7734300" y="895350"/>
          <a:ext cx="2667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8</xdr:col>
      <xdr:colOff>447675</xdr:colOff>
      <xdr:row>2</xdr:row>
      <xdr:rowOff>47625</xdr:rowOff>
    </xdr:from>
    <xdr:to>
      <xdr:col>11</xdr:col>
      <xdr:colOff>171450</xdr:colOff>
      <xdr:row>3</xdr:row>
      <xdr:rowOff>66675</xdr:rowOff>
    </xdr:to>
    <xdr:sp>
      <xdr:nvSpPr>
        <xdr:cNvPr id="123" name="Text Box 165"/>
        <xdr:cNvSpPr txBox="1">
          <a:spLocks noChangeArrowheads="1"/>
        </xdr:cNvSpPr>
      </xdr:nvSpPr>
      <xdr:spPr>
        <a:xfrm>
          <a:off x="5934075" y="600075"/>
          <a:ext cx="1781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は２Ｆ部屋のﾄｲﾚを想定</a:t>
          </a:r>
        </a:p>
      </xdr:txBody>
    </xdr:sp>
    <xdr:clientData/>
  </xdr:twoCellAnchor>
  <xdr:twoCellAnchor>
    <xdr:from>
      <xdr:col>8</xdr:col>
      <xdr:colOff>133350</xdr:colOff>
      <xdr:row>11</xdr:row>
      <xdr:rowOff>19050</xdr:rowOff>
    </xdr:from>
    <xdr:to>
      <xdr:col>8</xdr:col>
      <xdr:colOff>333375</xdr:colOff>
      <xdr:row>11</xdr:row>
      <xdr:rowOff>19050</xdr:rowOff>
    </xdr:to>
    <xdr:sp>
      <xdr:nvSpPr>
        <xdr:cNvPr id="124" name="Line 166"/>
        <xdr:cNvSpPr>
          <a:spLocks/>
        </xdr:cNvSpPr>
      </xdr:nvSpPr>
      <xdr:spPr>
        <a:xfrm flipH="1" flipV="1">
          <a:off x="5619750" y="2305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133350</xdr:colOff>
      <xdr:row>5</xdr:row>
      <xdr:rowOff>57150</xdr:rowOff>
    </xdr:from>
    <xdr:to>
      <xdr:col>11</xdr:col>
      <xdr:colOff>133350</xdr:colOff>
      <xdr:row>8</xdr:row>
      <xdr:rowOff>76200</xdr:rowOff>
    </xdr:to>
    <xdr:sp>
      <xdr:nvSpPr>
        <xdr:cNvPr id="125" name="Line 167"/>
        <xdr:cNvSpPr>
          <a:spLocks/>
        </xdr:cNvSpPr>
      </xdr:nvSpPr>
      <xdr:spPr>
        <a:xfrm flipV="1">
          <a:off x="7677150" y="12001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7</xdr:row>
      <xdr:rowOff>38100</xdr:rowOff>
    </xdr:from>
    <xdr:to>
      <xdr:col>8</xdr:col>
      <xdr:colOff>600075</xdr:colOff>
      <xdr:row>11</xdr:row>
      <xdr:rowOff>28575</xdr:rowOff>
    </xdr:to>
    <xdr:sp>
      <xdr:nvSpPr>
        <xdr:cNvPr id="126" name="Line 168"/>
        <xdr:cNvSpPr>
          <a:spLocks/>
        </xdr:cNvSpPr>
      </xdr:nvSpPr>
      <xdr:spPr>
        <a:xfrm flipH="1">
          <a:off x="5819775" y="1562100"/>
          <a:ext cx="26670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504825</xdr:colOff>
      <xdr:row>12</xdr:row>
      <xdr:rowOff>47625</xdr:rowOff>
    </xdr:from>
    <xdr:ext cx="276225" cy="276225"/>
    <xdr:sp>
      <xdr:nvSpPr>
        <xdr:cNvPr id="127" name="Text Box 169"/>
        <xdr:cNvSpPr txBox="1">
          <a:spLocks noChangeArrowheads="1"/>
        </xdr:cNvSpPr>
      </xdr:nvSpPr>
      <xdr:spPr>
        <a:xfrm>
          <a:off x="5991225" y="25241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</a:p>
      </xdr:txBody>
    </xdr:sp>
    <xdr:clientData/>
  </xdr:oneCellAnchor>
  <xdr:twoCellAnchor>
    <xdr:from>
      <xdr:col>9</xdr:col>
      <xdr:colOff>561975</xdr:colOff>
      <xdr:row>3</xdr:row>
      <xdr:rowOff>161925</xdr:rowOff>
    </xdr:from>
    <xdr:to>
      <xdr:col>10</xdr:col>
      <xdr:colOff>504825</xdr:colOff>
      <xdr:row>4</xdr:row>
      <xdr:rowOff>180975</xdr:rowOff>
    </xdr:to>
    <xdr:sp>
      <xdr:nvSpPr>
        <xdr:cNvPr id="128" name="Text Box 170"/>
        <xdr:cNvSpPr txBox="1">
          <a:spLocks noChangeArrowheads="1"/>
        </xdr:cNvSpPr>
      </xdr:nvSpPr>
      <xdr:spPr>
        <a:xfrm>
          <a:off x="6734175" y="923925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oneCellAnchor>
    <xdr:from>
      <xdr:col>7</xdr:col>
      <xdr:colOff>457200</xdr:colOff>
      <xdr:row>13</xdr:row>
      <xdr:rowOff>104775</xdr:rowOff>
    </xdr:from>
    <xdr:ext cx="276225" cy="238125"/>
    <xdr:sp>
      <xdr:nvSpPr>
        <xdr:cNvPr id="129" name="Text Box 171"/>
        <xdr:cNvSpPr txBox="1">
          <a:spLocks noChangeArrowheads="1"/>
        </xdr:cNvSpPr>
      </xdr:nvSpPr>
      <xdr:spPr>
        <a:xfrm>
          <a:off x="5257800" y="2771775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oneCellAnchor>
  <xdr:twoCellAnchor>
    <xdr:from>
      <xdr:col>8</xdr:col>
      <xdr:colOff>552450</xdr:colOff>
      <xdr:row>8</xdr:row>
      <xdr:rowOff>57150</xdr:rowOff>
    </xdr:from>
    <xdr:to>
      <xdr:col>9</xdr:col>
      <xdr:colOff>676275</xdr:colOff>
      <xdr:row>10</xdr:row>
      <xdr:rowOff>66675</xdr:rowOff>
    </xdr:to>
    <xdr:sp>
      <xdr:nvSpPr>
        <xdr:cNvPr id="130" name="Text Box 172"/>
        <xdr:cNvSpPr txBox="1">
          <a:spLocks noChangeArrowheads="1"/>
        </xdr:cNvSpPr>
      </xdr:nvSpPr>
      <xdr:spPr>
        <a:xfrm>
          <a:off x="6038850" y="1771650"/>
          <a:ext cx="8096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φ13-6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内立管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-3.5)</a:t>
          </a:r>
        </a:p>
      </xdr:txBody>
    </xdr:sp>
    <xdr:clientData/>
  </xdr:twoCellAnchor>
  <xdr:twoCellAnchor>
    <xdr:from>
      <xdr:col>8</xdr:col>
      <xdr:colOff>76200</xdr:colOff>
      <xdr:row>23</xdr:row>
      <xdr:rowOff>123825</xdr:rowOff>
    </xdr:from>
    <xdr:to>
      <xdr:col>8</xdr:col>
      <xdr:colOff>228600</xdr:colOff>
      <xdr:row>24</xdr:row>
      <xdr:rowOff>28575</xdr:rowOff>
    </xdr:to>
    <xdr:sp>
      <xdr:nvSpPr>
        <xdr:cNvPr id="131" name="Line 173"/>
        <xdr:cNvSpPr>
          <a:spLocks/>
        </xdr:cNvSpPr>
      </xdr:nvSpPr>
      <xdr:spPr>
        <a:xfrm>
          <a:off x="5562600" y="4695825"/>
          <a:ext cx="152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23</xdr:row>
      <xdr:rowOff>114300</xdr:rowOff>
    </xdr:from>
    <xdr:to>
      <xdr:col>8</xdr:col>
      <xdr:colOff>209550</xdr:colOff>
      <xdr:row>24</xdr:row>
      <xdr:rowOff>28575</xdr:rowOff>
    </xdr:to>
    <xdr:sp>
      <xdr:nvSpPr>
        <xdr:cNvPr id="132" name="Line 174"/>
        <xdr:cNvSpPr>
          <a:spLocks/>
        </xdr:cNvSpPr>
      </xdr:nvSpPr>
      <xdr:spPr>
        <a:xfrm flipV="1">
          <a:off x="5562600" y="4686300"/>
          <a:ext cx="133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238125</xdr:colOff>
      <xdr:row>7</xdr:row>
      <xdr:rowOff>9525</xdr:rowOff>
    </xdr:from>
    <xdr:ext cx="285750" cy="285750"/>
    <xdr:sp>
      <xdr:nvSpPr>
        <xdr:cNvPr id="133" name="Text Box 175"/>
        <xdr:cNvSpPr txBox="1">
          <a:spLocks noChangeArrowheads="1"/>
        </xdr:cNvSpPr>
      </xdr:nvSpPr>
      <xdr:spPr>
        <a:xfrm>
          <a:off x="7781925" y="1533525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C
</a:t>
          </a:r>
        </a:p>
      </xdr:txBody>
    </xdr:sp>
    <xdr:clientData/>
  </xdr:oneCellAnchor>
  <xdr:twoCellAnchor>
    <xdr:from>
      <xdr:col>11</xdr:col>
      <xdr:colOff>219075</xdr:colOff>
      <xdr:row>5</xdr:row>
      <xdr:rowOff>133350</xdr:rowOff>
    </xdr:from>
    <xdr:to>
      <xdr:col>12</xdr:col>
      <xdr:colOff>161925</xdr:colOff>
      <xdr:row>6</xdr:row>
      <xdr:rowOff>152400</xdr:rowOff>
    </xdr:to>
    <xdr:sp>
      <xdr:nvSpPr>
        <xdr:cNvPr id="134" name="Text Box 176"/>
        <xdr:cNvSpPr txBox="1">
          <a:spLocks noChangeArrowheads="1"/>
        </xdr:cNvSpPr>
      </xdr:nvSpPr>
      <xdr:spPr>
        <a:xfrm>
          <a:off x="7762875" y="127635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φ13-2.5</a:t>
          </a:r>
        </a:p>
      </xdr:txBody>
    </xdr:sp>
    <xdr:clientData/>
  </xdr:twoCellAnchor>
  <xdr:twoCellAnchor>
    <xdr:from>
      <xdr:col>8</xdr:col>
      <xdr:colOff>400050</xdr:colOff>
      <xdr:row>22</xdr:row>
      <xdr:rowOff>152400</xdr:rowOff>
    </xdr:from>
    <xdr:to>
      <xdr:col>9</xdr:col>
      <xdr:colOff>523875</xdr:colOff>
      <xdr:row>24</xdr:row>
      <xdr:rowOff>19050</xdr:rowOff>
    </xdr:to>
    <xdr:sp>
      <xdr:nvSpPr>
        <xdr:cNvPr id="135" name="Text Box 177"/>
        <xdr:cNvSpPr txBox="1">
          <a:spLocks noChangeArrowheads="1"/>
        </xdr:cNvSpPr>
      </xdr:nvSpPr>
      <xdr:spPr>
        <a:xfrm>
          <a:off x="5886450" y="4533900"/>
          <a:ext cx="8096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量水器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φ20</a:t>
          </a:r>
        </a:p>
      </xdr:txBody>
    </xdr:sp>
    <xdr:clientData/>
  </xdr:twoCellAnchor>
  <xdr:twoCellAnchor>
    <xdr:from>
      <xdr:col>7</xdr:col>
      <xdr:colOff>523875</xdr:colOff>
      <xdr:row>15</xdr:row>
      <xdr:rowOff>85725</xdr:rowOff>
    </xdr:from>
    <xdr:to>
      <xdr:col>8</xdr:col>
      <xdr:colOff>57150</xdr:colOff>
      <xdr:row>17</xdr:row>
      <xdr:rowOff>180975</xdr:rowOff>
    </xdr:to>
    <xdr:sp>
      <xdr:nvSpPr>
        <xdr:cNvPr id="136" name="Text Box 178"/>
        <xdr:cNvSpPr txBox="1">
          <a:spLocks noChangeArrowheads="1"/>
        </xdr:cNvSpPr>
      </xdr:nvSpPr>
      <xdr:spPr>
        <a:xfrm>
          <a:off x="5324475" y="3133725"/>
          <a:ext cx="219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φ20-8</a:t>
          </a:r>
        </a:p>
      </xdr:txBody>
    </xdr:sp>
    <xdr:clientData/>
  </xdr:twoCellAnchor>
  <xdr:twoCellAnchor>
    <xdr:from>
      <xdr:col>8</xdr:col>
      <xdr:colOff>200025</xdr:colOff>
      <xdr:row>26</xdr:row>
      <xdr:rowOff>19050</xdr:rowOff>
    </xdr:from>
    <xdr:to>
      <xdr:col>9</xdr:col>
      <xdr:colOff>152400</xdr:colOff>
      <xdr:row>27</xdr:row>
      <xdr:rowOff>76200</xdr:rowOff>
    </xdr:to>
    <xdr:sp>
      <xdr:nvSpPr>
        <xdr:cNvPr id="137" name="Text Box 179"/>
        <xdr:cNvSpPr txBox="1">
          <a:spLocks noChangeArrowheads="1"/>
        </xdr:cNvSpPr>
      </xdr:nvSpPr>
      <xdr:spPr>
        <a:xfrm>
          <a:off x="5686425" y="5162550"/>
          <a:ext cx="6381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φ20-5</a:t>
          </a:r>
        </a:p>
      </xdr:txBody>
    </xdr:sp>
    <xdr:clientData/>
  </xdr:twoCellAnchor>
  <xdr:twoCellAnchor>
    <xdr:from>
      <xdr:col>7</xdr:col>
      <xdr:colOff>514350</xdr:colOff>
      <xdr:row>6</xdr:row>
      <xdr:rowOff>104775</xdr:rowOff>
    </xdr:from>
    <xdr:to>
      <xdr:col>8</xdr:col>
      <xdr:colOff>47625</xdr:colOff>
      <xdr:row>9</xdr:row>
      <xdr:rowOff>9525</xdr:rowOff>
    </xdr:to>
    <xdr:sp>
      <xdr:nvSpPr>
        <xdr:cNvPr id="138" name="Text Box 180"/>
        <xdr:cNvSpPr txBox="1">
          <a:spLocks noChangeArrowheads="1"/>
        </xdr:cNvSpPr>
      </xdr:nvSpPr>
      <xdr:spPr>
        <a:xfrm>
          <a:off x="5314950" y="1438275"/>
          <a:ext cx="21907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twoCellAnchor>
    <xdr:from>
      <xdr:col>7</xdr:col>
      <xdr:colOff>504825</xdr:colOff>
      <xdr:row>10</xdr:row>
      <xdr:rowOff>85725</xdr:rowOff>
    </xdr:from>
    <xdr:to>
      <xdr:col>8</xdr:col>
      <xdr:colOff>57150</xdr:colOff>
      <xdr:row>13</xdr:row>
      <xdr:rowOff>114300</xdr:rowOff>
    </xdr:to>
    <xdr:sp>
      <xdr:nvSpPr>
        <xdr:cNvPr id="139" name="Text Box 181"/>
        <xdr:cNvSpPr txBox="1">
          <a:spLocks noChangeArrowheads="1"/>
        </xdr:cNvSpPr>
      </xdr:nvSpPr>
      <xdr:spPr>
        <a:xfrm>
          <a:off x="5305425" y="2181225"/>
          <a:ext cx="2381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φ20-1.5</a:t>
          </a:r>
        </a:p>
      </xdr:txBody>
    </xdr:sp>
    <xdr:clientData/>
  </xdr:twoCellAnchor>
  <xdr:oneCellAnchor>
    <xdr:from>
      <xdr:col>7</xdr:col>
      <xdr:colOff>533400</xdr:colOff>
      <xdr:row>30</xdr:row>
      <xdr:rowOff>19050</xdr:rowOff>
    </xdr:from>
    <xdr:ext cx="276225" cy="238125"/>
    <xdr:sp>
      <xdr:nvSpPr>
        <xdr:cNvPr id="140" name="Text Box 182"/>
        <xdr:cNvSpPr txBox="1">
          <a:spLocks noChangeArrowheads="1"/>
        </xdr:cNvSpPr>
      </xdr:nvSpPr>
      <xdr:spPr>
        <a:xfrm>
          <a:off x="5334000" y="5867400"/>
          <a:ext cx="2762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キ</a:t>
          </a:r>
        </a:p>
      </xdr:txBody>
    </xdr:sp>
    <xdr:clientData/>
  </xdr:oneCellAnchor>
  <xdr:oneCellAnchor>
    <xdr:from>
      <xdr:col>7</xdr:col>
      <xdr:colOff>390525</xdr:colOff>
      <xdr:row>22</xdr:row>
      <xdr:rowOff>142875</xdr:rowOff>
    </xdr:from>
    <xdr:ext cx="228600" cy="238125"/>
    <xdr:sp>
      <xdr:nvSpPr>
        <xdr:cNvPr id="141" name="Text Box 183"/>
        <xdr:cNvSpPr txBox="1">
          <a:spLocks noChangeArrowheads="1"/>
        </xdr:cNvSpPr>
      </xdr:nvSpPr>
      <xdr:spPr>
        <a:xfrm>
          <a:off x="5191125" y="4524375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カ</a:t>
          </a:r>
        </a:p>
      </xdr:txBody>
    </xdr:sp>
    <xdr:clientData/>
  </xdr:oneCellAnchor>
  <xdr:oneCellAnchor>
    <xdr:from>
      <xdr:col>10</xdr:col>
      <xdr:colOff>295275</xdr:colOff>
      <xdr:row>5</xdr:row>
      <xdr:rowOff>114300</xdr:rowOff>
    </xdr:from>
    <xdr:ext cx="276225" cy="276225"/>
    <xdr:sp>
      <xdr:nvSpPr>
        <xdr:cNvPr id="142" name="Text Box 184"/>
        <xdr:cNvSpPr txBox="1">
          <a:spLocks noChangeArrowheads="1"/>
        </xdr:cNvSpPr>
      </xdr:nvSpPr>
      <xdr:spPr>
        <a:xfrm>
          <a:off x="7153275" y="1257300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oneCellAnchor>
  <xdr:twoCellAnchor>
    <xdr:from>
      <xdr:col>8</xdr:col>
      <xdr:colOff>342900</xdr:colOff>
      <xdr:row>4</xdr:row>
      <xdr:rowOff>0</xdr:rowOff>
    </xdr:from>
    <xdr:to>
      <xdr:col>9</xdr:col>
      <xdr:colOff>285750</xdr:colOff>
      <xdr:row>5</xdr:row>
      <xdr:rowOff>19050</xdr:rowOff>
    </xdr:to>
    <xdr:sp>
      <xdr:nvSpPr>
        <xdr:cNvPr id="143" name="Text Box 186"/>
        <xdr:cNvSpPr txBox="1">
          <a:spLocks noChangeArrowheads="1"/>
        </xdr:cNvSpPr>
      </xdr:nvSpPr>
      <xdr:spPr>
        <a:xfrm>
          <a:off x="5829300" y="95250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φ20-3</a:t>
          </a:r>
        </a:p>
      </xdr:txBody>
    </xdr:sp>
    <xdr:clientData/>
  </xdr:twoCellAnchor>
  <xdr:oneCellAnchor>
    <xdr:from>
      <xdr:col>9</xdr:col>
      <xdr:colOff>276225</xdr:colOff>
      <xdr:row>3</xdr:row>
      <xdr:rowOff>142875</xdr:rowOff>
    </xdr:from>
    <xdr:ext cx="200025" cy="257175"/>
    <xdr:sp>
      <xdr:nvSpPr>
        <xdr:cNvPr id="144" name="Text Box 187"/>
        <xdr:cNvSpPr txBox="1">
          <a:spLocks noChangeArrowheads="1"/>
        </xdr:cNvSpPr>
      </xdr:nvSpPr>
      <xdr:spPr>
        <a:xfrm>
          <a:off x="6448425" y="9048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0</xdr:col>
      <xdr:colOff>523875</xdr:colOff>
      <xdr:row>13</xdr:row>
      <xdr:rowOff>76200</xdr:rowOff>
    </xdr:from>
    <xdr:ext cx="209550" cy="257175"/>
    <xdr:sp>
      <xdr:nvSpPr>
        <xdr:cNvPr id="145" name="Text Box 188"/>
        <xdr:cNvSpPr txBox="1">
          <a:spLocks noChangeArrowheads="1"/>
        </xdr:cNvSpPr>
      </xdr:nvSpPr>
      <xdr:spPr>
        <a:xfrm>
          <a:off x="523875" y="27432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ウ</a:t>
          </a:r>
        </a:p>
      </xdr:txBody>
    </xdr:sp>
    <xdr:clientData/>
  </xdr:oneCellAnchor>
  <xdr:twoCellAnchor>
    <xdr:from>
      <xdr:col>8</xdr:col>
      <xdr:colOff>552450</xdr:colOff>
      <xdr:row>13</xdr:row>
      <xdr:rowOff>95250</xdr:rowOff>
    </xdr:from>
    <xdr:to>
      <xdr:col>9</xdr:col>
      <xdr:colOff>495300</xdr:colOff>
      <xdr:row>14</xdr:row>
      <xdr:rowOff>114300</xdr:rowOff>
    </xdr:to>
    <xdr:sp>
      <xdr:nvSpPr>
        <xdr:cNvPr id="146" name="Text Box 189"/>
        <xdr:cNvSpPr txBox="1">
          <a:spLocks noChangeArrowheads="1"/>
        </xdr:cNvSpPr>
      </xdr:nvSpPr>
      <xdr:spPr>
        <a:xfrm>
          <a:off x="6038850" y="276225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φ13-2</a:t>
          </a:r>
        </a:p>
      </xdr:txBody>
    </xdr:sp>
    <xdr:clientData/>
  </xdr:twoCellAnchor>
  <xdr:twoCellAnchor>
    <xdr:from>
      <xdr:col>9</xdr:col>
      <xdr:colOff>542925</xdr:colOff>
      <xdr:row>5</xdr:row>
      <xdr:rowOff>57150</xdr:rowOff>
    </xdr:from>
    <xdr:to>
      <xdr:col>9</xdr:col>
      <xdr:colOff>552450</xdr:colOff>
      <xdr:row>6</xdr:row>
      <xdr:rowOff>180975</xdr:rowOff>
    </xdr:to>
    <xdr:sp>
      <xdr:nvSpPr>
        <xdr:cNvPr id="147" name="Line 190"/>
        <xdr:cNvSpPr>
          <a:spLocks/>
        </xdr:cNvSpPr>
      </xdr:nvSpPr>
      <xdr:spPr>
        <a:xfrm>
          <a:off x="6715125" y="1200150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13</xdr:row>
      <xdr:rowOff>95250</xdr:rowOff>
    </xdr:from>
    <xdr:to>
      <xdr:col>2</xdr:col>
      <xdr:colOff>333375</xdr:colOff>
      <xdr:row>14</xdr:row>
      <xdr:rowOff>114300</xdr:rowOff>
    </xdr:to>
    <xdr:sp>
      <xdr:nvSpPr>
        <xdr:cNvPr id="148" name="Text Box 192"/>
        <xdr:cNvSpPr txBox="1">
          <a:spLocks noChangeArrowheads="1"/>
        </xdr:cNvSpPr>
      </xdr:nvSpPr>
      <xdr:spPr>
        <a:xfrm>
          <a:off x="1076325" y="2762250"/>
          <a:ext cx="6286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φ13-2</a:t>
          </a:r>
        </a:p>
      </xdr:txBody>
    </xdr:sp>
    <xdr:clientData/>
  </xdr:twoCellAnchor>
  <xdr:twoCellAnchor>
    <xdr:from>
      <xdr:col>9</xdr:col>
      <xdr:colOff>542925</xdr:colOff>
      <xdr:row>6</xdr:row>
      <xdr:rowOff>0</xdr:rowOff>
    </xdr:from>
    <xdr:to>
      <xdr:col>10</xdr:col>
      <xdr:colOff>247650</xdr:colOff>
      <xdr:row>6</xdr:row>
      <xdr:rowOff>180975</xdr:rowOff>
    </xdr:to>
    <xdr:sp>
      <xdr:nvSpPr>
        <xdr:cNvPr id="149" name="Line 193"/>
        <xdr:cNvSpPr>
          <a:spLocks/>
        </xdr:cNvSpPr>
      </xdr:nvSpPr>
      <xdr:spPr>
        <a:xfrm flipH="1">
          <a:off x="6715125" y="1333500"/>
          <a:ext cx="390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581025</xdr:colOff>
      <xdr:row>7</xdr:row>
      <xdr:rowOff>47625</xdr:rowOff>
    </xdr:from>
    <xdr:to>
      <xdr:col>11</xdr:col>
      <xdr:colOff>19050</xdr:colOff>
      <xdr:row>9</xdr:row>
      <xdr:rowOff>57150</xdr:rowOff>
    </xdr:to>
    <xdr:sp>
      <xdr:nvSpPr>
        <xdr:cNvPr id="150" name="Text Box 194"/>
        <xdr:cNvSpPr txBox="1">
          <a:spLocks noChangeArrowheads="1"/>
        </xdr:cNvSpPr>
      </xdr:nvSpPr>
      <xdr:spPr>
        <a:xfrm>
          <a:off x="6753225" y="1571625"/>
          <a:ext cx="8096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φ13-5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内立管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-3.5)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showZeros="0" tabSelected="1" zoomScalePageLayoutView="0" workbookViewId="0" topLeftCell="A1">
      <selection activeCell="Q27" sqref="Q27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7" max="17" width="11.253906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10</v>
      </c>
      <c r="E5" s="48" t="s">
        <v>3</v>
      </c>
      <c r="F5" s="48" t="s">
        <v>66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IF(D5=1,1,IF(D5&lt;5,2,IF(D5&lt;11,3,IF(D5&lt;16,4,0))))</f>
        <v>3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87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9</v>
      </c>
      <c r="C10" s="2" t="s">
        <v>135</v>
      </c>
      <c r="D10" s="3">
        <v>13</v>
      </c>
      <c r="E10" s="5">
        <v>12</v>
      </c>
      <c r="F10" s="4" t="s">
        <v>8</v>
      </c>
      <c r="G10" s="48"/>
      <c r="H10" s="250"/>
      <c r="I10" s="251"/>
      <c r="J10" s="56" t="s">
        <v>8</v>
      </c>
      <c r="K10" s="57" t="s">
        <v>31</v>
      </c>
      <c r="L10" s="58" t="s">
        <v>32</v>
      </c>
      <c r="M10" s="58" t="s">
        <v>33</v>
      </c>
      <c r="N10" s="57" t="s">
        <v>33</v>
      </c>
      <c r="O10" s="57" t="s">
        <v>33</v>
      </c>
      <c r="P10" s="59" t="s">
        <v>33</v>
      </c>
      <c r="Q10" s="247"/>
    </row>
    <row r="11" spans="2:17" ht="15" customHeight="1" thickBot="1">
      <c r="B11" s="3" t="s">
        <v>10</v>
      </c>
      <c r="C11" s="2" t="s">
        <v>28</v>
      </c>
      <c r="D11" s="3">
        <v>13</v>
      </c>
      <c r="E11" s="5">
        <v>12</v>
      </c>
      <c r="F11" s="4" t="s">
        <v>8</v>
      </c>
      <c r="G11" s="48"/>
      <c r="H11" s="86" t="s">
        <v>23</v>
      </c>
      <c r="I11" s="52" t="s">
        <v>133</v>
      </c>
      <c r="J11" s="1">
        <v>12</v>
      </c>
      <c r="K11" s="1">
        <v>13</v>
      </c>
      <c r="L11" s="244" t="s">
        <v>26</v>
      </c>
      <c r="M11" s="245"/>
      <c r="N11" s="215">
        <v>0.8</v>
      </c>
      <c r="O11" s="70"/>
      <c r="P11" s="220">
        <f aca="true" t="shared" si="0" ref="P11:P21">+N11+O11</f>
        <v>0.8</v>
      </c>
      <c r="Q11" s="60" t="s">
        <v>50</v>
      </c>
    </row>
    <row r="12" spans="2:21" ht="15" customHeight="1" thickBot="1">
      <c r="B12" s="3" t="s">
        <v>11</v>
      </c>
      <c r="C12" s="2" t="s">
        <v>29</v>
      </c>
      <c r="D12" s="3">
        <v>13</v>
      </c>
      <c r="E12" s="5">
        <v>8</v>
      </c>
      <c r="F12" s="4" t="s">
        <v>8</v>
      </c>
      <c r="G12" s="48"/>
      <c r="H12" s="87" t="s">
        <v>24</v>
      </c>
      <c r="I12" s="88" t="s">
        <v>130</v>
      </c>
      <c r="J12" s="203">
        <v>12</v>
      </c>
      <c r="K12" s="1">
        <v>13</v>
      </c>
      <c r="L12" s="68">
        <f>IF(+U12&gt;50,ROUND(+U12,-1),+U12)</f>
        <v>230</v>
      </c>
      <c r="M12" s="214">
        <v>7.5</v>
      </c>
      <c r="N12" s="216">
        <f aca="true" t="shared" si="1" ref="N12:N18">ROUND(+L12/1000*M12,2)</f>
        <v>1.73</v>
      </c>
      <c r="O12" s="214">
        <v>4.5</v>
      </c>
      <c r="P12" s="221">
        <f t="shared" si="0"/>
        <v>6.23</v>
      </c>
      <c r="Q12" s="61"/>
      <c r="R12" t="s">
        <v>39</v>
      </c>
      <c r="S12">
        <f aca="true" t="shared" si="2" ref="S12:S18">IF(J12&gt;0,ROUND(+J12/1000/60*4/(PI()*(K12/1000)^2),2),0)</f>
        <v>1.51</v>
      </c>
      <c r="T12" t="s">
        <v>21</v>
      </c>
      <c r="U12">
        <f aca="true" t="shared" si="3" ref="U12:U18">IF(J12&gt;0,ROUND(((0.0126+(0.01739-0.1087*+K12/1000)/S12^0.5)*((+S12^2/19.6)/(+K12/1000)))*1000,0),0)</f>
        <v>229</v>
      </c>
    </row>
    <row r="13" spans="2:21" ht="15" customHeight="1" thickBot="1">
      <c r="B13" s="3" t="s">
        <v>30</v>
      </c>
      <c r="C13" s="2" t="s">
        <v>136</v>
      </c>
      <c r="D13" s="3"/>
      <c r="E13" s="5"/>
      <c r="F13" s="4" t="s">
        <v>8</v>
      </c>
      <c r="G13" s="48"/>
      <c r="H13" s="87" t="s">
        <v>24</v>
      </c>
      <c r="I13" s="88" t="s">
        <v>123</v>
      </c>
      <c r="J13" s="1">
        <v>32</v>
      </c>
      <c r="K13" s="1">
        <v>20</v>
      </c>
      <c r="L13" s="68">
        <f aca="true" t="shared" si="4" ref="L13:L18">IF(+U13&gt;50,ROUND(+U13,-1),+U13)</f>
        <v>180</v>
      </c>
      <c r="M13" s="214">
        <v>2</v>
      </c>
      <c r="N13" s="216">
        <f t="shared" si="1"/>
        <v>0.36</v>
      </c>
      <c r="O13" s="214"/>
      <c r="P13" s="221">
        <f t="shared" si="0"/>
        <v>0.36</v>
      </c>
      <c r="Q13" s="61"/>
      <c r="R13" t="s">
        <v>39</v>
      </c>
      <c r="S13">
        <f t="shared" si="2"/>
        <v>1.7</v>
      </c>
      <c r="T13" t="s">
        <v>21</v>
      </c>
      <c r="U13">
        <f t="shared" si="3"/>
        <v>179</v>
      </c>
    </row>
    <row r="14" spans="2:21" ht="15" customHeight="1" thickBot="1">
      <c r="B14" s="3"/>
      <c r="C14" s="2"/>
      <c r="D14" s="2"/>
      <c r="E14" s="5"/>
      <c r="F14" s="4"/>
      <c r="G14" s="48"/>
      <c r="H14" s="87" t="s">
        <v>24</v>
      </c>
      <c r="I14" s="88"/>
      <c r="J14" s="1"/>
      <c r="K14" s="1"/>
      <c r="L14" s="68">
        <f t="shared" si="4"/>
        <v>0</v>
      </c>
      <c r="M14" s="214"/>
      <c r="N14" s="216">
        <f t="shared" si="1"/>
        <v>0</v>
      </c>
      <c r="O14" s="214"/>
      <c r="P14" s="222">
        <f t="shared" si="0"/>
        <v>0</v>
      </c>
      <c r="Q14" s="62"/>
      <c r="R14" t="s">
        <v>39</v>
      </c>
      <c r="S14">
        <f t="shared" si="2"/>
        <v>0</v>
      </c>
      <c r="T14" t="s">
        <v>21</v>
      </c>
      <c r="U14">
        <f t="shared" si="3"/>
        <v>0</v>
      </c>
    </row>
    <row r="15" spans="2:21" ht="15" customHeight="1" thickBot="1">
      <c r="B15" s="49"/>
      <c r="C15" s="50"/>
      <c r="D15" s="3" t="s">
        <v>22</v>
      </c>
      <c r="E15" s="5">
        <f>SUM(E10:E14)</f>
        <v>32</v>
      </c>
      <c r="F15" s="4" t="s">
        <v>8</v>
      </c>
      <c r="G15" s="48"/>
      <c r="H15" s="87"/>
      <c r="I15" s="90"/>
      <c r="J15" s="1"/>
      <c r="K15" s="1"/>
      <c r="L15" s="68">
        <f t="shared" si="4"/>
        <v>0</v>
      </c>
      <c r="M15" s="214"/>
      <c r="N15" s="216">
        <f t="shared" si="1"/>
        <v>0</v>
      </c>
      <c r="O15" s="214"/>
      <c r="P15" s="222">
        <f t="shared" si="0"/>
        <v>0</v>
      </c>
      <c r="Q15" s="62"/>
      <c r="R15" t="s">
        <v>39</v>
      </c>
      <c r="S15">
        <f t="shared" si="2"/>
        <v>0</v>
      </c>
      <c r="T15" t="s">
        <v>21</v>
      </c>
      <c r="U15">
        <f t="shared" si="3"/>
        <v>0</v>
      </c>
    </row>
    <row r="16" spans="2:21" ht="15" customHeight="1" thickBot="1">
      <c r="B16" s="51"/>
      <c r="C16" s="48"/>
      <c r="D16" s="51"/>
      <c r="E16" s="51"/>
      <c r="F16" s="51"/>
      <c r="G16" s="48"/>
      <c r="H16" s="87"/>
      <c r="I16" s="90"/>
      <c r="J16" s="1"/>
      <c r="K16" s="1"/>
      <c r="L16" s="68">
        <f t="shared" si="4"/>
        <v>0</v>
      </c>
      <c r="M16" s="214"/>
      <c r="N16" s="216">
        <f t="shared" si="1"/>
        <v>0</v>
      </c>
      <c r="O16" s="214"/>
      <c r="P16" s="222">
        <f t="shared" si="0"/>
        <v>0</v>
      </c>
      <c r="Q16" s="62"/>
      <c r="R16" t="s">
        <v>39</v>
      </c>
      <c r="S16">
        <f t="shared" si="2"/>
        <v>0</v>
      </c>
      <c r="T16" t="s">
        <v>21</v>
      </c>
      <c r="U16">
        <f t="shared" si="3"/>
        <v>0</v>
      </c>
    </row>
    <row r="17" spans="1:21" ht="15" customHeight="1" thickBot="1">
      <c r="A17" s="11"/>
      <c r="B17" s="51"/>
      <c r="C17" s="48"/>
      <c r="D17" s="51"/>
      <c r="E17" s="51"/>
      <c r="F17" s="51"/>
      <c r="G17" s="48"/>
      <c r="H17" s="87" t="s">
        <v>129</v>
      </c>
      <c r="I17" s="90" t="s">
        <v>132</v>
      </c>
      <c r="J17" s="62">
        <f>E15</f>
        <v>32</v>
      </c>
      <c r="K17" s="1">
        <v>20</v>
      </c>
      <c r="L17" s="68">
        <f t="shared" si="4"/>
        <v>180</v>
      </c>
      <c r="M17" s="214">
        <v>5</v>
      </c>
      <c r="N17" s="217">
        <f t="shared" si="1"/>
        <v>0.9</v>
      </c>
      <c r="O17" s="214"/>
      <c r="P17" s="222">
        <f t="shared" si="0"/>
        <v>0.9</v>
      </c>
      <c r="Q17" s="62"/>
      <c r="R17" t="s">
        <v>39</v>
      </c>
      <c r="S17">
        <f t="shared" si="2"/>
        <v>1.7</v>
      </c>
      <c r="T17" t="s">
        <v>21</v>
      </c>
      <c r="U17">
        <f t="shared" si="3"/>
        <v>179</v>
      </c>
    </row>
    <row r="18" spans="1:21" ht="15" customHeight="1" thickBot="1">
      <c r="A18" s="11"/>
      <c r="B18" s="52"/>
      <c r="C18" s="51"/>
      <c r="D18" s="51"/>
      <c r="E18" s="51"/>
      <c r="F18" s="51"/>
      <c r="G18" s="48"/>
      <c r="H18" s="252" t="s">
        <v>27</v>
      </c>
      <c r="I18" s="254" t="s">
        <v>124</v>
      </c>
      <c r="J18" s="62">
        <f>E15</f>
        <v>32</v>
      </c>
      <c r="K18" s="1">
        <v>20</v>
      </c>
      <c r="L18" s="68">
        <f t="shared" si="4"/>
        <v>180</v>
      </c>
      <c r="M18" s="214">
        <v>29</v>
      </c>
      <c r="N18" s="217">
        <f t="shared" si="1"/>
        <v>5.22</v>
      </c>
      <c r="O18" s="214">
        <v>0.8</v>
      </c>
      <c r="P18" s="222">
        <f t="shared" si="0"/>
        <v>6.02</v>
      </c>
      <c r="Q18" s="62"/>
      <c r="R18" t="s">
        <v>39</v>
      </c>
      <c r="S18">
        <f t="shared" si="2"/>
        <v>1.7</v>
      </c>
      <c r="T18" t="s">
        <v>21</v>
      </c>
      <c r="U18">
        <f t="shared" si="3"/>
        <v>179</v>
      </c>
    </row>
    <row r="19" spans="1:17" ht="15" customHeight="1" thickBot="1">
      <c r="A19" s="11"/>
      <c r="B19" s="51"/>
      <c r="C19" s="51"/>
      <c r="D19" s="51"/>
      <c r="E19" s="51"/>
      <c r="F19" s="51"/>
      <c r="G19" s="48"/>
      <c r="H19" s="253"/>
      <c r="I19" s="255"/>
      <c r="J19" s="62">
        <f>+J18</f>
        <v>32</v>
      </c>
      <c r="K19" s="1">
        <v>13</v>
      </c>
      <c r="L19" s="231" t="s">
        <v>20</v>
      </c>
      <c r="M19" s="232"/>
      <c r="N19" s="218">
        <f>IF(K19=13,M29,IF(K19=20,N29,(IF(K19=25,O29,""))))</f>
        <v>3.9</v>
      </c>
      <c r="O19" s="71"/>
      <c r="P19" s="222">
        <f t="shared" si="0"/>
        <v>3.9</v>
      </c>
      <c r="Q19" s="62" t="s">
        <v>51</v>
      </c>
    </row>
    <row r="20" spans="1:17" ht="15" customHeight="1" thickBot="1">
      <c r="A20" s="11"/>
      <c r="B20" s="51"/>
      <c r="C20" s="51"/>
      <c r="D20" s="51"/>
      <c r="E20" s="51"/>
      <c r="F20" s="51"/>
      <c r="G20" s="48"/>
      <c r="H20" s="253"/>
      <c r="I20" s="255"/>
      <c r="J20" s="62">
        <f>+J18</f>
        <v>32</v>
      </c>
      <c r="K20" s="1">
        <v>20</v>
      </c>
      <c r="L20" s="231" t="s">
        <v>19</v>
      </c>
      <c r="M20" s="232"/>
      <c r="N20" s="218">
        <f>IF(K20=13,M40,IF(K20=20,N40,(IF(K20=25,O40,""))))</f>
        <v>1.4</v>
      </c>
      <c r="O20" s="71"/>
      <c r="P20" s="222">
        <f t="shared" si="0"/>
        <v>1.4</v>
      </c>
      <c r="Q20" s="62" t="s">
        <v>50</v>
      </c>
    </row>
    <row r="21" spans="2:17" ht="15" customHeight="1" thickBot="1">
      <c r="B21" s="48"/>
      <c r="C21" s="48"/>
      <c r="D21" s="48"/>
      <c r="E21" s="48"/>
      <c r="F21" s="48"/>
      <c r="G21" s="48"/>
      <c r="H21" s="205"/>
      <c r="I21" s="204"/>
      <c r="J21" s="73">
        <f>J20</f>
        <v>32</v>
      </c>
      <c r="K21" s="1">
        <v>20</v>
      </c>
      <c r="L21" s="242" t="s">
        <v>40</v>
      </c>
      <c r="M21" s="243"/>
      <c r="N21" s="219">
        <f>IF(K21=13,M52,IF(K21=20,N52,(IF(K21=25,O52,""))))</f>
        <v>0.5</v>
      </c>
      <c r="O21" s="72"/>
      <c r="P21" s="223">
        <f t="shared" si="0"/>
        <v>0.5</v>
      </c>
      <c r="Q21" s="63" t="s">
        <v>49</v>
      </c>
    </row>
    <row r="22" spans="2:17" ht="1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4" t="s">
        <v>22</v>
      </c>
      <c r="P22" s="224">
        <f>SUM(P11:P21)</f>
        <v>20.11</v>
      </c>
      <c r="Q22" s="126" t="str">
        <f>+"流速"&amp;+S18&amp;+"m/S"</f>
        <v>流速1.7m/S</v>
      </c>
    </row>
    <row r="23" spans="2:17" ht="15" customHeight="1">
      <c r="B23" s="48"/>
      <c r="C23" s="124" t="s">
        <v>106</v>
      </c>
      <c r="D23" s="48"/>
      <c r="E23" s="256" t="str">
        <f>IF(K19=13,D43,IF(K19=20,D44,IF(K19=25,D45,"")))</f>
        <v>OK</v>
      </c>
      <c r="F23" s="256"/>
      <c r="G23" s="48"/>
      <c r="H23" s="48"/>
      <c r="I23" s="48"/>
      <c r="J23" s="48"/>
      <c r="K23" s="48"/>
      <c r="L23" s="65" t="s">
        <v>108</v>
      </c>
      <c r="M23" s="66" t="str">
        <f>IF((20.4-P22)&gt;0,"＞","＜")</f>
        <v>＞</v>
      </c>
      <c r="N23" s="48" t="str">
        <f>+P22/10&amp;+"ｋｇｆ/cm2"</f>
        <v>2.011ｋｇｆ/cm2</v>
      </c>
      <c r="O23" s="48"/>
      <c r="P23" s="67" t="str">
        <f>IF((20.4-P22)&gt;0,"OK","OUT")</f>
        <v>OK</v>
      </c>
      <c r="Q23" s="125" t="str">
        <f>IF(S18&lt;2,"OK","OUT")</f>
        <v>OK</v>
      </c>
    </row>
    <row r="24" ht="15" customHeight="1"/>
    <row r="25" spans="3:11" ht="15" customHeight="1">
      <c r="C25" s="233" t="s">
        <v>80</v>
      </c>
      <c r="D25" s="233"/>
      <c r="E25" s="233"/>
      <c r="F25" s="233"/>
      <c r="G25" s="233"/>
      <c r="H25" s="233"/>
      <c r="I25" s="233"/>
      <c r="J25" s="233"/>
      <c r="K25" s="233"/>
    </row>
    <row r="27" spans="3:15" ht="13.5">
      <c r="C27" s="241" t="s">
        <v>75</v>
      </c>
      <c r="D27" s="241"/>
      <c r="E27" s="241"/>
      <c r="G27" s="229" t="s">
        <v>34</v>
      </c>
      <c r="H27" s="237"/>
      <c r="I27" s="237"/>
      <c r="J27" s="237"/>
      <c r="K27" s="230"/>
      <c r="L27" s="234" t="s">
        <v>46</v>
      </c>
      <c r="M27" s="238" t="s">
        <v>94</v>
      </c>
      <c r="N27" s="239"/>
      <c r="O27" s="240"/>
    </row>
    <row r="28" spans="3:15" ht="13.5">
      <c r="C28" s="3" t="s">
        <v>74</v>
      </c>
      <c r="D28" s="2">
        <v>2</v>
      </c>
      <c r="E28" s="2" t="s">
        <v>3</v>
      </c>
      <c r="G28" s="229"/>
      <c r="H28" s="230"/>
      <c r="I28" s="94" t="s">
        <v>35</v>
      </c>
      <c r="J28" s="96" t="s">
        <v>36</v>
      </c>
      <c r="K28" s="95" t="s">
        <v>37</v>
      </c>
      <c r="L28" s="235"/>
      <c r="M28" s="105" t="s">
        <v>35</v>
      </c>
      <c r="N28" s="106" t="s">
        <v>36</v>
      </c>
      <c r="O28" s="107" t="s">
        <v>37</v>
      </c>
    </row>
    <row r="29" spans="3:15" ht="13.5">
      <c r="C29" s="3" t="s">
        <v>76</v>
      </c>
      <c r="D29" s="2">
        <v>3</v>
      </c>
      <c r="E29" s="2" t="s">
        <v>3</v>
      </c>
      <c r="G29" s="98">
        <v>12</v>
      </c>
      <c r="H29" s="97" t="s">
        <v>8</v>
      </c>
      <c r="I29" s="130">
        <v>0.8</v>
      </c>
      <c r="J29" s="7">
        <v>0.18</v>
      </c>
      <c r="K29" s="13">
        <v>0.14</v>
      </c>
      <c r="L29" s="235"/>
      <c r="M29" s="104">
        <f>VLOOKUP($J$19,$G$29:$K$36,3)</f>
        <v>3.9</v>
      </c>
      <c r="N29" s="110">
        <f>VLOOKUP($J$19,$G$29:$K$36,4)</f>
        <v>1.2</v>
      </c>
      <c r="O29" s="109">
        <f>VLOOKUP($J$19,$G$29:$K$36,5)</f>
        <v>0.8</v>
      </c>
    </row>
    <row r="30" spans="3:12" ht="13.5">
      <c r="C30" s="3" t="s">
        <v>77</v>
      </c>
      <c r="D30" s="2">
        <v>4</v>
      </c>
      <c r="E30" s="2" t="s">
        <v>3</v>
      </c>
      <c r="G30" s="99">
        <v>20</v>
      </c>
      <c r="H30" s="35" t="s">
        <v>8</v>
      </c>
      <c r="I30" s="131">
        <v>1.7</v>
      </c>
      <c r="J30" s="134">
        <v>0.6</v>
      </c>
      <c r="K30" s="12">
        <v>0.3</v>
      </c>
      <c r="L30" s="235"/>
    </row>
    <row r="31" spans="3:12" ht="13.5">
      <c r="C31" s="3" t="s">
        <v>78</v>
      </c>
      <c r="D31" s="2">
        <v>5</v>
      </c>
      <c r="E31" s="2" t="s">
        <v>3</v>
      </c>
      <c r="G31" s="99">
        <v>32</v>
      </c>
      <c r="H31" s="35" t="s">
        <v>8</v>
      </c>
      <c r="I31" s="131">
        <v>3.9</v>
      </c>
      <c r="J31" s="134">
        <v>1.2</v>
      </c>
      <c r="K31" s="12">
        <v>0.8</v>
      </c>
      <c r="L31" s="235"/>
    </row>
    <row r="32" spans="7:12" ht="13.5">
      <c r="G32" s="99">
        <v>36</v>
      </c>
      <c r="H32" s="35" t="s">
        <v>8</v>
      </c>
      <c r="I32" s="132">
        <v>4.8</v>
      </c>
      <c r="J32" s="134">
        <v>1.5</v>
      </c>
      <c r="K32" s="137">
        <v>1.1</v>
      </c>
      <c r="L32" s="235"/>
    </row>
    <row r="33" spans="5:12" ht="13.5">
      <c r="E33" s="25" t="s">
        <v>61</v>
      </c>
      <c r="G33" s="99">
        <v>40</v>
      </c>
      <c r="H33" s="35" t="s">
        <v>8</v>
      </c>
      <c r="I33" s="132">
        <v>5.9</v>
      </c>
      <c r="J33" s="134">
        <v>1.9</v>
      </c>
      <c r="K33" s="137">
        <v>1.3</v>
      </c>
      <c r="L33" s="235"/>
    </row>
    <row r="34" spans="3:12" ht="13.5">
      <c r="C34" s="229" t="s">
        <v>53</v>
      </c>
      <c r="D34" s="237"/>
      <c r="E34" s="230"/>
      <c r="G34" s="99">
        <v>44</v>
      </c>
      <c r="H34" s="35" t="s">
        <v>8</v>
      </c>
      <c r="I34" s="133">
        <v>7</v>
      </c>
      <c r="J34" s="135">
        <v>2.2</v>
      </c>
      <c r="K34" s="138">
        <v>1.6</v>
      </c>
      <c r="L34" s="235"/>
    </row>
    <row r="35" spans="3:12" ht="13.5">
      <c r="C35" s="2" t="s">
        <v>54</v>
      </c>
      <c r="D35" s="5">
        <v>41</v>
      </c>
      <c r="E35" s="4" t="s">
        <v>59</v>
      </c>
      <c r="G35" s="153">
        <v>53</v>
      </c>
      <c r="H35" s="35" t="s">
        <v>8</v>
      </c>
      <c r="I35" s="142"/>
      <c r="J35" s="135">
        <v>3.1</v>
      </c>
      <c r="K35" s="138">
        <v>2.2</v>
      </c>
      <c r="L35" s="235"/>
    </row>
    <row r="36" spans="3:14" ht="13.5">
      <c r="C36" s="2" t="s">
        <v>55</v>
      </c>
      <c r="D36" s="5">
        <v>66</v>
      </c>
      <c r="E36" s="4" t="s">
        <v>59</v>
      </c>
      <c r="G36" s="100">
        <v>60</v>
      </c>
      <c r="H36" s="101" t="s">
        <v>8</v>
      </c>
      <c r="I36" s="9"/>
      <c r="J36" s="136">
        <v>3.8</v>
      </c>
      <c r="K36" s="139">
        <v>2.7</v>
      </c>
      <c r="L36" s="236"/>
      <c r="N36">
        <v>0.8</v>
      </c>
    </row>
    <row r="37" spans="3:5" ht="13.5">
      <c r="C37" s="2" t="s">
        <v>56</v>
      </c>
      <c r="D37" s="5">
        <v>105</v>
      </c>
      <c r="E37" s="4" t="s">
        <v>59</v>
      </c>
    </row>
    <row r="38" spans="3:15" ht="13.5">
      <c r="C38" s="2" t="s">
        <v>57</v>
      </c>
      <c r="D38" s="31">
        <v>266</v>
      </c>
      <c r="E38" s="4" t="s">
        <v>59</v>
      </c>
      <c r="G38" s="229" t="s">
        <v>83</v>
      </c>
      <c r="H38" s="237"/>
      <c r="I38" s="237"/>
      <c r="J38" s="237"/>
      <c r="K38" s="230"/>
      <c r="L38" s="234" t="s">
        <v>48</v>
      </c>
      <c r="M38" s="238" t="s">
        <v>91</v>
      </c>
      <c r="N38" s="239"/>
      <c r="O38" s="240"/>
    </row>
    <row r="39" spans="3:15" ht="13.5">
      <c r="C39" s="2" t="s">
        <v>58</v>
      </c>
      <c r="D39" s="5">
        <v>666</v>
      </c>
      <c r="E39" s="4" t="s">
        <v>59</v>
      </c>
      <c r="G39" s="229"/>
      <c r="H39" s="230"/>
      <c r="I39" s="5" t="s">
        <v>35</v>
      </c>
      <c r="J39" s="17" t="s">
        <v>36</v>
      </c>
      <c r="K39" s="4" t="s">
        <v>37</v>
      </c>
      <c r="L39" s="235"/>
      <c r="M39" s="105" t="s">
        <v>35</v>
      </c>
      <c r="N39" s="106" t="s">
        <v>36</v>
      </c>
      <c r="O39" s="107" t="s">
        <v>37</v>
      </c>
    </row>
    <row r="40" spans="3:15" ht="13.5">
      <c r="C40" s="2"/>
      <c r="D40" s="5"/>
      <c r="E40" s="4"/>
      <c r="G40" s="98">
        <v>8</v>
      </c>
      <c r="H40" s="97" t="s">
        <v>8</v>
      </c>
      <c r="I40" s="193">
        <v>0.4</v>
      </c>
      <c r="J40" s="189">
        <v>0.08</v>
      </c>
      <c r="K40" s="190"/>
      <c r="L40" s="235"/>
      <c r="M40" s="104">
        <f>VLOOKUP($J$20,$G$40:$K$48,3)</f>
        <v>4.6</v>
      </c>
      <c r="N40" s="110">
        <f>VLOOKUP($J$20,$G$40:$K$48,4)</f>
        <v>1.4</v>
      </c>
      <c r="O40" s="109">
        <f>VLOOKUP($J$20,$G$40:$K$48,5)</f>
        <v>0.5</v>
      </c>
    </row>
    <row r="41" spans="3:12" ht="12.75" customHeight="1">
      <c r="C41" s="2" t="s">
        <v>60</v>
      </c>
      <c r="D41" s="5">
        <v>1050</v>
      </c>
      <c r="E41" s="4" t="s">
        <v>59</v>
      </c>
      <c r="G41" s="191">
        <v>12</v>
      </c>
      <c r="H41" s="192" t="s">
        <v>8</v>
      </c>
      <c r="I41" s="144">
        <v>0.8</v>
      </c>
      <c r="J41" s="200">
        <v>0.26</v>
      </c>
      <c r="K41" s="13">
        <v>0.065</v>
      </c>
      <c r="L41" s="235"/>
    </row>
    <row r="42" spans="7:12" ht="13.5">
      <c r="G42" s="99">
        <v>20</v>
      </c>
      <c r="H42" s="35" t="s">
        <v>8</v>
      </c>
      <c r="I42" s="133">
        <v>2</v>
      </c>
      <c r="J42" s="146">
        <v>0.6</v>
      </c>
      <c r="K42" s="12">
        <v>0.18</v>
      </c>
      <c r="L42" s="235"/>
    </row>
    <row r="43" spans="3:12" ht="13.5">
      <c r="C43" s="127" t="s">
        <v>90</v>
      </c>
      <c r="D43" s="129" t="str">
        <f>IF(D35&gt;J19,"OK","OUT")</f>
        <v>OK</v>
      </c>
      <c r="G43" s="99">
        <v>32</v>
      </c>
      <c r="H43" s="35" t="s">
        <v>8</v>
      </c>
      <c r="I43" s="145">
        <v>4.6</v>
      </c>
      <c r="J43" s="146">
        <v>1.4</v>
      </c>
      <c r="K43" s="12">
        <v>0.5</v>
      </c>
      <c r="L43" s="235"/>
    </row>
    <row r="44" spans="3:12" ht="13.5">
      <c r="C44" s="128" t="s">
        <v>36</v>
      </c>
      <c r="D44" s="129" t="str">
        <f>IF(D36&gt;J19,"OK","OUT")</f>
        <v>OK</v>
      </c>
      <c r="G44" s="99">
        <v>36</v>
      </c>
      <c r="H44" s="35" t="s">
        <v>8</v>
      </c>
      <c r="I44" s="132">
        <v>5.7</v>
      </c>
      <c r="J44" s="146">
        <v>1.8</v>
      </c>
      <c r="K44" s="137">
        <v>0.6</v>
      </c>
      <c r="L44" s="235"/>
    </row>
    <row r="45" spans="3:12" ht="13.5">
      <c r="C45" s="128" t="s">
        <v>37</v>
      </c>
      <c r="D45" s="129" t="str">
        <f>IF(D37&gt;J19,"OK","OUT")</f>
        <v>OK</v>
      </c>
      <c r="G45" s="99">
        <v>40</v>
      </c>
      <c r="H45" s="35" t="s">
        <v>8</v>
      </c>
      <c r="I45" s="145">
        <v>6.8</v>
      </c>
      <c r="J45" s="146">
        <v>2.1</v>
      </c>
      <c r="K45" s="137">
        <v>0.8</v>
      </c>
      <c r="L45" s="235"/>
    </row>
    <row r="46" spans="7:12" ht="13.5">
      <c r="G46" s="99">
        <v>44</v>
      </c>
      <c r="H46" s="35" t="s">
        <v>8</v>
      </c>
      <c r="I46" s="92"/>
      <c r="J46" s="147">
        <v>2.5</v>
      </c>
      <c r="K46" s="138">
        <v>0.9</v>
      </c>
      <c r="L46" s="235"/>
    </row>
    <row r="47" spans="7:12" ht="13.5">
      <c r="G47" s="44">
        <v>53</v>
      </c>
      <c r="H47" s="154" t="s">
        <v>8</v>
      </c>
      <c r="I47" s="92"/>
      <c r="J47" s="147">
        <v>3.5</v>
      </c>
      <c r="K47" s="138">
        <v>1.2</v>
      </c>
      <c r="L47" s="235"/>
    </row>
    <row r="48" spans="7:12" ht="13.5">
      <c r="G48" s="100">
        <v>60</v>
      </c>
      <c r="H48" s="101" t="s">
        <v>8</v>
      </c>
      <c r="I48" s="9"/>
      <c r="J48" s="148">
        <v>4.4</v>
      </c>
      <c r="K48" s="139">
        <v>1.6</v>
      </c>
      <c r="L48" s="236"/>
    </row>
    <row r="50" spans="7:15" ht="13.5">
      <c r="G50" s="229" t="s">
        <v>82</v>
      </c>
      <c r="H50" s="237"/>
      <c r="I50" s="237"/>
      <c r="J50" s="237"/>
      <c r="K50" s="230"/>
      <c r="L50" s="234" t="s">
        <v>47</v>
      </c>
      <c r="M50" s="238" t="s">
        <v>95</v>
      </c>
      <c r="N50" s="239"/>
      <c r="O50" s="240"/>
    </row>
    <row r="51" spans="7:15" ht="13.5">
      <c r="G51" s="229"/>
      <c r="H51" s="230"/>
      <c r="I51" s="5" t="s">
        <v>35</v>
      </c>
      <c r="J51" s="17" t="s">
        <v>36</v>
      </c>
      <c r="K51" s="4" t="s">
        <v>37</v>
      </c>
      <c r="L51" s="235"/>
      <c r="M51" s="105" t="s">
        <v>35</v>
      </c>
      <c r="N51" s="106" t="s">
        <v>36</v>
      </c>
      <c r="O51" s="107" t="s">
        <v>37</v>
      </c>
    </row>
    <row r="52" spans="7:15" ht="13.5">
      <c r="G52" s="98">
        <v>12</v>
      </c>
      <c r="H52" s="97" t="s">
        <v>8</v>
      </c>
      <c r="I52" s="144">
        <v>0.6</v>
      </c>
      <c r="J52" s="18">
        <v>0.07</v>
      </c>
      <c r="K52" s="21">
        <v>0.03</v>
      </c>
      <c r="L52" s="235"/>
      <c r="M52" s="104">
        <f>VLOOKUP($J$21,$G$52:$K$59,3)</f>
        <v>3.7</v>
      </c>
      <c r="N52" s="110">
        <f>VLOOKUP($J$21,$G$52:$K$59,4)</f>
        <v>0.5</v>
      </c>
      <c r="O52" s="109">
        <f>VLOOKUP($J$21,$G$52:$K$59,5)</f>
        <v>0.2</v>
      </c>
    </row>
    <row r="53" spans="7:12" ht="13.5">
      <c r="G53" s="99">
        <v>20</v>
      </c>
      <c r="H53" s="35" t="s">
        <v>8</v>
      </c>
      <c r="I53" s="145">
        <v>1.6</v>
      </c>
      <c r="J53" s="146">
        <v>0.2</v>
      </c>
      <c r="K53" s="22">
        <v>0.08</v>
      </c>
      <c r="L53" s="235"/>
    </row>
    <row r="54" spans="7:12" ht="13.5">
      <c r="G54" s="99">
        <v>32</v>
      </c>
      <c r="H54" s="35" t="s">
        <v>8</v>
      </c>
      <c r="I54" s="145">
        <v>3.7</v>
      </c>
      <c r="J54" s="146">
        <v>0.5</v>
      </c>
      <c r="K54" s="22">
        <v>0.2</v>
      </c>
      <c r="L54" s="235"/>
    </row>
    <row r="55" spans="7:12" ht="13.5">
      <c r="G55" s="99">
        <v>36</v>
      </c>
      <c r="H55" s="35" t="s">
        <v>8</v>
      </c>
      <c r="I55" s="145">
        <v>4.5</v>
      </c>
      <c r="J55" s="146">
        <v>0.6</v>
      </c>
      <c r="K55" s="149">
        <v>0.22</v>
      </c>
      <c r="L55" s="235"/>
    </row>
    <row r="56" spans="7:12" ht="13.5">
      <c r="G56" s="99">
        <v>40</v>
      </c>
      <c r="H56" s="35" t="s">
        <v>8</v>
      </c>
      <c r="I56" s="145">
        <v>5.5</v>
      </c>
      <c r="J56" s="146">
        <v>0.7</v>
      </c>
      <c r="K56" s="149">
        <v>0.27</v>
      </c>
      <c r="L56" s="235"/>
    </row>
    <row r="57" spans="7:12" ht="13.5">
      <c r="G57" s="99">
        <v>44</v>
      </c>
      <c r="H57" s="35" t="s">
        <v>8</v>
      </c>
      <c r="I57" s="93"/>
      <c r="J57" s="147">
        <v>0.9</v>
      </c>
      <c r="K57" s="150">
        <v>0.31</v>
      </c>
      <c r="L57" s="235"/>
    </row>
    <row r="58" spans="7:12" ht="13.5">
      <c r="G58" s="153">
        <v>53</v>
      </c>
      <c r="H58" s="35" t="s">
        <v>8</v>
      </c>
      <c r="I58" s="93"/>
      <c r="J58" s="147">
        <v>1.2</v>
      </c>
      <c r="K58" s="150">
        <v>0.44</v>
      </c>
      <c r="L58" s="235"/>
    </row>
    <row r="59" spans="7:12" ht="13.5">
      <c r="G59" s="100">
        <v>60</v>
      </c>
      <c r="H59" s="101" t="s">
        <v>8</v>
      </c>
      <c r="I59" s="23"/>
      <c r="J59" s="148">
        <v>1.5</v>
      </c>
      <c r="K59" s="151">
        <v>0.54</v>
      </c>
      <c r="L59" s="236"/>
    </row>
    <row r="60" ht="13.5">
      <c r="G60" s="46"/>
    </row>
  </sheetData>
  <sheetProtection/>
  <mergeCells count="25">
    <mergeCell ref="E23:F23"/>
    <mergeCell ref="M38:O38"/>
    <mergeCell ref="M50:O50"/>
    <mergeCell ref="L50:L59"/>
    <mergeCell ref="G39:H39"/>
    <mergeCell ref="G38:K38"/>
    <mergeCell ref="G51:H51"/>
    <mergeCell ref="G50:K50"/>
    <mergeCell ref="L38:L48"/>
    <mergeCell ref="L19:M19"/>
    <mergeCell ref="L11:M11"/>
    <mergeCell ref="Q9:Q10"/>
    <mergeCell ref="H9:I10"/>
    <mergeCell ref="H18:H20"/>
    <mergeCell ref="I18:I20"/>
    <mergeCell ref="E9:F9"/>
    <mergeCell ref="L20:M20"/>
    <mergeCell ref="C25:K25"/>
    <mergeCell ref="L27:L36"/>
    <mergeCell ref="G27:K27"/>
    <mergeCell ref="C34:E34"/>
    <mergeCell ref="G28:H28"/>
    <mergeCell ref="M27:O27"/>
    <mergeCell ref="C27:E27"/>
    <mergeCell ref="L21:M21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showZeros="0" zoomScalePageLayoutView="0" workbookViewId="0" topLeftCell="A1">
      <selection activeCell="H24" sqref="H24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7" max="17" width="11.1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15</v>
      </c>
      <c r="E5" s="48" t="s">
        <v>3</v>
      </c>
      <c r="F5" s="48" t="s">
        <v>66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IF(D5=1,1,IF(D5&lt;5,2,IF(D5&lt;11,3,IF(D5&lt;16,4,IF(D5&lt;21,5,0)))))</f>
        <v>4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87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9</v>
      </c>
      <c r="C10" s="2" t="s">
        <v>135</v>
      </c>
      <c r="D10" s="3">
        <v>13</v>
      </c>
      <c r="E10" s="5">
        <v>12</v>
      </c>
      <c r="F10" s="4" t="s">
        <v>8</v>
      </c>
      <c r="G10" s="48"/>
      <c r="H10" s="250"/>
      <c r="I10" s="251"/>
      <c r="J10" s="56" t="s">
        <v>8</v>
      </c>
      <c r="K10" s="57" t="s">
        <v>31</v>
      </c>
      <c r="L10" s="58" t="s">
        <v>32</v>
      </c>
      <c r="M10" s="58" t="s">
        <v>33</v>
      </c>
      <c r="N10" s="57" t="s">
        <v>33</v>
      </c>
      <c r="O10" s="57" t="s">
        <v>33</v>
      </c>
      <c r="P10" s="59" t="s">
        <v>33</v>
      </c>
      <c r="Q10" s="247"/>
    </row>
    <row r="11" spans="2:17" ht="15" customHeight="1" thickBot="1">
      <c r="B11" s="3" t="s">
        <v>10</v>
      </c>
      <c r="C11" s="2" t="s">
        <v>28</v>
      </c>
      <c r="D11" s="3">
        <v>13</v>
      </c>
      <c r="E11" s="5">
        <v>8</v>
      </c>
      <c r="F11" s="4" t="s">
        <v>8</v>
      </c>
      <c r="G11" s="48"/>
      <c r="H11" s="86" t="s">
        <v>23</v>
      </c>
      <c r="I11" s="52" t="s">
        <v>138</v>
      </c>
      <c r="J11" s="1">
        <v>12</v>
      </c>
      <c r="K11" s="1">
        <v>13</v>
      </c>
      <c r="L11" s="244" t="s">
        <v>26</v>
      </c>
      <c r="M11" s="245"/>
      <c r="N11" s="1">
        <v>0.8</v>
      </c>
      <c r="O11" s="70"/>
      <c r="P11" s="60">
        <f aca="true" t="shared" si="0" ref="P11:P21">+N11+O11</f>
        <v>0.8</v>
      </c>
      <c r="Q11" s="60" t="s">
        <v>50</v>
      </c>
    </row>
    <row r="12" spans="2:21" ht="15" customHeight="1" thickBot="1">
      <c r="B12" s="3" t="s">
        <v>11</v>
      </c>
      <c r="C12" s="2" t="s">
        <v>131</v>
      </c>
      <c r="D12" s="3">
        <v>13</v>
      </c>
      <c r="E12" s="5">
        <v>8</v>
      </c>
      <c r="F12" s="4" t="s">
        <v>8</v>
      </c>
      <c r="G12" s="48"/>
      <c r="H12" s="87" t="s">
        <v>24</v>
      </c>
      <c r="I12" s="88" t="s">
        <v>130</v>
      </c>
      <c r="J12" s="1">
        <v>12</v>
      </c>
      <c r="K12" s="1">
        <v>13</v>
      </c>
      <c r="L12" s="68">
        <f>IF(+U12&gt;50,ROUND(+U12,-1),+U12)</f>
        <v>230</v>
      </c>
      <c r="M12" s="1">
        <v>11.4</v>
      </c>
      <c r="N12" s="68">
        <f aca="true" t="shared" si="1" ref="N12:N18">ROUND(+L12/1000*M12,2)</f>
        <v>2.62</v>
      </c>
      <c r="O12" s="1">
        <v>3.5</v>
      </c>
      <c r="P12" s="61">
        <f t="shared" si="0"/>
        <v>6.12</v>
      </c>
      <c r="Q12" s="61"/>
      <c r="R12" t="s">
        <v>39</v>
      </c>
      <c r="S12">
        <f aca="true" t="shared" si="2" ref="S12:S18">IF(J12&gt;0,ROUND(+J12/1000/60*4/(PI()*(K12/1000)^2),2),0)</f>
        <v>1.51</v>
      </c>
      <c r="T12" t="s">
        <v>21</v>
      </c>
      <c r="U12">
        <f aca="true" t="shared" si="3" ref="U12:U18">IF(J12&gt;0,ROUND(((0.0126+(0.01739-0.1087*+K12/1000)/S12^0.5)*((+S12^2/19.6)/(+K12/1000)))*1000,0),0)</f>
        <v>229</v>
      </c>
    </row>
    <row r="13" spans="2:21" ht="15" customHeight="1" thickBot="1">
      <c r="B13" s="3" t="s">
        <v>30</v>
      </c>
      <c r="C13" s="2" t="s">
        <v>29</v>
      </c>
      <c r="D13" s="3">
        <v>13</v>
      </c>
      <c r="E13" s="5">
        <v>12</v>
      </c>
      <c r="F13" s="4" t="s">
        <v>8</v>
      </c>
      <c r="G13" s="48"/>
      <c r="H13" s="87" t="s">
        <v>24</v>
      </c>
      <c r="I13" s="88" t="s">
        <v>128</v>
      </c>
      <c r="J13" s="1">
        <v>40</v>
      </c>
      <c r="K13" s="1">
        <v>20</v>
      </c>
      <c r="L13" s="68">
        <f aca="true" t="shared" si="4" ref="L13:L18">IF(+U13&gt;50,ROUND(+U13,-1),+U13)</f>
        <v>260</v>
      </c>
      <c r="M13" s="1">
        <v>4.7</v>
      </c>
      <c r="N13" s="68">
        <f t="shared" si="1"/>
        <v>1.22</v>
      </c>
      <c r="O13" s="1"/>
      <c r="P13" s="61">
        <f t="shared" si="0"/>
        <v>1.22</v>
      </c>
      <c r="Q13" s="61"/>
      <c r="R13" t="s">
        <v>39</v>
      </c>
      <c r="S13">
        <f t="shared" si="2"/>
        <v>2.12</v>
      </c>
      <c r="T13" t="s">
        <v>21</v>
      </c>
      <c r="U13">
        <f t="shared" si="3"/>
        <v>264</v>
      </c>
    </row>
    <row r="14" spans="2:21" ht="15" customHeight="1" thickBot="1">
      <c r="B14" s="3"/>
      <c r="C14" s="2"/>
      <c r="D14" s="2"/>
      <c r="E14" s="5"/>
      <c r="F14" s="4"/>
      <c r="G14" s="48"/>
      <c r="H14" s="87"/>
      <c r="I14" s="89"/>
      <c r="J14" s="1"/>
      <c r="K14" s="1"/>
      <c r="L14" s="68">
        <f t="shared" si="4"/>
        <v>0</v>
      </c>
      <c r="M14" s="1"/>
      <c r="N14" s="68">
        <f t="shared" si="1"/>
        <v>0</v>
      </c>
      <c r="O14" s="1"/>
      <c r="P14" s="62">
        <f t="shared" si="0"/>
        <v>0</v>
      </c>
      <c r="Q14" s="62"/>
      <c r="R14" t="s">
        <v>39</v>
      </c>
      <c r="S14">
        <f t="shared" si="2"/>
        <v>0</v>
      </c>
      <c r="T14" t="s">
        <v>21</v>
      </c>
      <c r="U14">
        <f t="shared" si="3"/>
        <v>0</v>
      </c>
    </row>
    <row r="15" spans="2:21" ht="15" customHeight="1" thickBot="1">
      <c r="B15" s="49"/>
      <c r="C15" s="50"/>
      <c r="D15" s="3" t="s">
        <v>22</v>
      </c>
      <c r="E15" s="5">
        <f>SUM(E10:E14)</f>
        <v>40</v>
      </c>
      <c r="F15" s="4" t="s">
        <v>8</v>
      </c>
      <c r="G15" s="48"/>
      <c r="H15" s="87"/>
      <c r="I15" s="90"/>
      <c r="J15" s="1"/>
      <c r="K15" s="1"/>
      <c r="L15" s="68">
        <f t="shared" si="4"/>
        <v>0</v>
      </c>
      <c r="M15" s="1"/>
      <c r="N15" s="68">
        <f t="shared" si="1"/>
        <v>0</v>
      </c>
      <c r="O15" s="1"/>
      <c r="P15" s="62">
        <f t="shared" si="0"/>
        <v>0</v>
      </c>
      <c r="Q15" s="62"/>
      <c r="R15" t="s">
        <v>39</v>
      </c>
      <c r="S15">
        <f t="shared" si="2"/>
        <v>0</v>
      </c>
      <c r="T15" t="s">
        <v>21</v>
      </c>
      <c r="U15">
        <f t="shared" si="3"/>
        <v>0</v>
      </c>
    </row>
    <row r="16" spans="2:21" ht="15" customHeight="1" thickBot="1">
      <c r="B16" s="48"/>
      <c r="C16" s="48"/>
      <c r="D16" s="48"/>
      <c r="E16" s="48"/>
      <c r="F16" s="48"/>
      <c r="G16" s="48"/>
      <c r="H16" s="87"/>
      <c r="I16" s="90"/>
      <c r="J16" s="1"/>
      <c r="K16" s="1"/>
      <c r="L16" s="68">
        <f t="shared" si="4"/>
        <v>0</v>
      </c>
      <c r="M16" s="1"/>
      <c r="N16" s="68">
        <f t="shared" si="1"/>
        <v>0</v>
      </c>
      <c r="O16" s="1"/>
      <c r="P16" s="62">
        <f t="shared" si="0"/>
        <v>0</v>
      </c>
      <c r="Q16" s="62"/>
      <c r="R16" t="s">
        <v>39</v>
      </c>
      <c r="S16">
        <f t="shared" si="2"/>
        <v>0</v>
      </c>
      <c r="T16" t="s">
        <v>21</v>
      </c>
      <c r="U16">
        <f t="shared" si="3"/>
        <v>0</v>
      </c>
    </row>
    <row r="17" spans="1:21" ht="15" customHeight="1" thickBot="1">
      <c r="A17" s="11"/>
      <c r="B17" s="51"/>
      <c r="C17" s="48"/>
      <c r="D17" s="51"/>
      <c r="E17" s="51"/>
      <c r="F17" s="51"/>
      <c r="G17" s="48"/>
      <c r="H17" s="87" t="s">
        <v>24</v>
      </c>
      <c r="I17" s="90" t="s">
        <v>125</v>
      </c>
      <c r="J17" s="62">
        <f>E15</f>
        <v>40</v>
      </c>
      <c r="K17" s="1">
        <v>20</v>
      </c>
      <c r="L17" s="68">
        <f t="shared" si="4"/>
        <v>260</v>
      </c>
      <c r="M17" s="1">
        <v>8.2</v>
      </c>
      <c r="N17" s="69">
        <f t="shared" si="1"/>
        <v>2.13</v>
      </c>
      <c r="O17" s="1">
        <v>0</v>
      </c>
      <c r="P17" s="62">
        <f t="shared" si="0"/>
        <v>2.13</v>
      </c>
      <c r="Q17" s="62"/>
      <c r="R17" t="s">
        <v>39</v>
      </c>
      <c r="S17">
        <f t="shared" si="2"/>
        <v>2.12</v>
      </c>
      <c r="T17" t="s">
        <v>21</v>
      </c>
      <c r="U17">
        <f t="shared" si="3"/>
        <v>264</v>
      </c>
    </row>
    <row r="18" spans="1:21" ht="15" customHeight="1" thickBot="1">
      <c r="A18" s="11"/>
      <c r="B18" s="52"/>
      <c r="C18" s="51"/>
      <c r="D18" s="51"/>
      <c r="E18" s="51"/>
      <c r="F18" s="51"/>
      <c r="G18" s="48"/>
      <c r="H18" s="252" t="s">
        <v>27</v>
      </c>
      <c r="I18" s="254" t="s">
        <v>124</v>
      </c>
      <c r="J18" s="62">
        <f>E15</f>
        <v>40</v>
      </c>
      <c r="K18" s="1">
        <v>20</v>
      </c>
      <c r="L18" s="68">
        <f t="shared" si="4"/>
        <v>260</v>
      </c>
      <c r="M18" s="1">
        <v>12.1</v>
      </c>
      <c r="N18" s="69">
        <f t="shared" si="1"/>
        <v>3.15</v>
      </c>
      <c r="O18" s="1">
        <v>0.9</v>
      </c>
      <c r="P18" s="62">
        <f t="shared" si="0"/>
        <v>4.05</v>
      </c>
      <c r="Q18" s="62"/>
      <c r="R18" t="s">
        <v>39</v>
      </c>
      <c r="S18">
        <f t="shared" si="2"/>
        <v>2.12</v>
      </c>
      <c r="T18" t="s">
        <v>21</v>
      </c>
      <c r="U18">
        <f t="shared" si="3"/>
        <v>264</v>
      </c>
    </row>
    <row r="19" spans="1:17" ht="15" customHeight="1" thickBot="1">
      <c r="A19" s="11"/>
      <c r="B19" s="51"/>
      <c r="C19" s="51"/>
      <c r="D19" s="51"/>
      <c r="E19" s="51"/>
      <c r="F19" s="51"/>
      <c r="G19" s="48"/>
      <c r="H19" s="253"/>
      <c r="I19" s="255"/>
      <c r="J19" s="62">
        <f>+J18</f>
        <v>40</v>
      </c>
      <c r="K19" s="1">
        <v>20</v>
      </c>
      <c r="L19" s="231" t="s">
        <v>20</v>
      </c>
      <c r="M19" s="232"/>
      <c r="N19" s="108">
        <f>IF(K19=13,M29,IF(K19=20,N29,(IF(K19=25,O29,""))))</f>
        <v>1.9</v>
      </c>
      <c r="O19" s="71"/>
      <c r="P19" s="62">
        <f t="shared" si="0"/>
        <v>1.9</v>
      </c>
      <c r="Q19" s="62" t="s">
        <v>51</v>
      </c>
    </row>
    <row r="20" spans="1:17" ht="15" customHeight="1" thickBot="1">
      <c r="A20" s="11"/>
      <c r="B20" s="51"/>
      <c r="C20" s="51"/>
      <c r="D20" s="51"/>
      <c r="E20" s="51"/>
      <c r="F20" s="51"/>
      <c r="G20" s="48"/>
      <c r="H20" s="253"/>
      <c r="I20" s="255"/>
      <c r="J20" s="62">
        <f>+J18</f>
        <v>40</v>
      </c>
      <c r="K20" s="1">
        <v>20</v>
      </c>
      <c r="L20" s="231" t="s">
        <v>19</v>
      </c>
      <c r="M20" s="232"/>
      <c r="N20" s="108">
        <f>IF(K20=13,M40,IF(K20=20,N40,(IF(K20=25,O40,""))))</f>
        <v>2.1</v>
      </c>
      <c r="O20" s="71"/>
      <c r="P20" s="62">
        <f t="shared" si="0"/>
        <v>2.1</v>
      </c>
      <c r="Q20" s="62" t="s">
        <v>50</v>
      </c>
    </row>
    <row r="21" spans="2:17" ht="15" customHeight="1" thickBot="1">
      <c r="B21" s="48"/>
      <c r="C21" s="48"/>
      <c r="D21" s="48"/>
      <c r="E21" s="48"/>
      <c r="F21" s="48"/>
      <c r="G21" s="48"/>
      <c r="H21" s="250"/>
      <c r="I21" s="251"/>
      <c r="J21" s="73">
        <f>+J18</f>
        <v>40</v>
      </c>
      <c r="K21" s="1">
        <v>20</v>
      </c>
      <c r="L21" s="242" t="s">
        <v>40</v>
      </c>
      <c r="M21" s="243"/>
      <c r="N21" s="111">
        <f>IF(K21=13,M52,IF(K21=20,N52,(IF(K21=25,O52,""))))</f>
        <v>0.7</v>
      </c>
      <c r="O21" s="72"/>
      <c r="P21" s="63">
        <f t="shared" si="0"/>
        <v>0.7</v>
      </c>
      <c r="Q21" s="63" t="s">
        <v>49</v>
      </c>
    </row>
    <row r="22" spans="2:17" ht="15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64" t="s">
        <v>22</v>
      </c>
      <c r="P22" s="10">
        <f>SUM(P11:P21)</f>
        <v>19.02</v>
      </c>
      <c r="Q22" s="126" t="str">
        <f>+"流速"&amp;+S18&amp;+"m/S"</f>
        <v>流速2.12m/S</v>
      </c>
    </row>
    <row r="23" spans="2:17" ht="15" customHeight="1">
      <c r="B23" s="48"/>
      <c r="C23" s="124" t="s">
        <v>106</v>
      </c>
      <c r="D23" s="48"/>
      <c r="E23" s="256" t="str">
        <f>IF(K19=13,D42,IF(K19=20,D43,IF(K19=25,D44,"")))</f>
        <v>OK</v>
      </c>
      <c r="F23" s="256"/>
      <c r="G23" s="48"/>
      <c r="H23" s="48"/>
      <c r="I23" s="48"/>
      <c r="J23" s="48"/>
      <c r="K23" s="48"/>
      <c r="L23" s="65" t="s">
        <v>42</v>
      </c>
      <c r="M23" s="66" t="str">
        <f>IF((20.4-P22)&gt;0,"＞","＜")</f>
        <v>＞</v>
      </c>
      <c r="N23" s="48" t="str">
        <f>+P22/10&amp;+"ｋｇｆ/cm2"</f>
        <v>1.902ｋｇｆ/cm2</v>
      </c>
      <c r="O23" s="48"/>
      <c r="P23" s="67" t="str">
        <f>IF((20.4-P22)&gt;0,"OK","OUT")</f>
        <v>OK</v>
      </c>
      <c r="Q23" s="125" t="str">
        <f>IF(S18&lt;2,"OK","OUT")</f>
        <v>OUT</v>
      </c>
    </row>
    <row r="24" ht="15" customHeight="1"/>
    <row r="25" spans="3:11" ht="15" customHeight="1">
      <c r="C25" s="233" t="s">
        <v>80</v>
      </c>
      <c r="D25" s="233"/>
      <c r="E25" s="233"/>
      <c r="F25" s="233"/>
      <c r="G25" s="233"/>
      <c r="H25" s="233"/>
      <c r="I25" s="233"/>
      <c r="J25" s="233"/>
      <c r="K25" s="233"/>
    </row>
    <row r="27" spans="3:15" ht="13.5" customHeight="1">
      <c r="C27" s="241" t="s">
        <v>75</v>
      </c>
      <c r="D27" s="241"/>
      <c r="E27" s="241"/>
      <c r="G27" s="229" t="s">
        <v>34</v>
      </c>
      <c r="H27" s="237"/>
      <c r="I27" s="237"/>
      <c r="J27" s="237"/>
      <c r="K27" s="230"/>
      <c r="L27" s="234" t="s">
        <v>46</v>
      </c>
      <c r="M27" s="238" t="s">
        <v>94</v>
      </c>
      <c r="N27" s="239"/>
      <c r="O27" s="240"/>
    </row>
    <row r="28" spans="3:15" ht="13.5">
      <c r="C28" s="3" t="s">
        <v>74</v>
      </c>
      <c r="D28" s="2">
        <v>2</v>
      </c>
      <c r="E28" s="2" t="s">
        <v>3</v>
      </c>
      <c r="G28" s="229"/>
      <c r="H28" s="230"/>
      <c r="I28" s="94" t="s">
        <v>35</v>
      </c>
      <c r="J28" s="96" t="s">
        <v>36</v>
      </c>
      <c r="K28" s="95" t="s">
        <v>37</v>
      </c>
      <c r="L28" s="235"/>
      <c r="M28" s="105" t="s">
        <v>35</v>
      </c>
      <c r="N28" s="106" t="s">
        <v>36</v>
      </c>
      <c r="O28" s="107" t="s">
        <v>37</v>
      </c>
    </row>
    <row r="29" spans="3:15" ht="13.5">
      <c r="C29" s="3" t="s">
        <v>76</v>
      </c>
      <c r="D29" s="2">
        <v>3</v>
      </c>
      <c r="E29" s="2" t="s">
        <v>3</v>
      </c>
      <c r="G29" s="98">
        <v>12</v>
      </c>
      <c r="H29" s="97" t="s">
        <v>8</v>
      </c>
      <c r="I29" s="130">
        <v>0.8</v>
      </c>
      <c r="J29" s="7">
        <v>0.18</v>
      </c>
      <c r="K29" s="13">
        <v>0.14</v>
      </c>
      <c r="L29" s="235"/>
      <c r="M29" s="104">
        <f>VLOOKUP($J$19,$G$29:$K$36,3)</f>
        <v>5.9</v>
      </c>
      <c r="N29" s="110">
        <f>VLOOKUP($J$19,$G$29:$K$36,4)</f>
        <v>1.9</v>
      </c>
      <c r="O29" s="109">
        <f>VLOOKUP($J$19,$G$29:$K$36,5)</f>
        <v>1.3</v>
      </c>
    </row>
    <row r="30" spans="3:12" ht="13.5">
      <c r="C30" s="3" t="s">
        <v>77</v>
      </c>
      <c r="D30" s="2">
        <v>4</v>
      </c>
      <c r="E30" s="2" t="s">
        <v>3</v>
      </c>
      <c r="G30" s="99">
        <v>20</v>
      </c>
      <c r="H30" s="35" t="s">
        <v>8</v>
      </c>
      <c r="I30" s="131">
        <v>1.7</v>
      </c>
      <c r="J30" s="134">
        <v>0.6</v>
      </c>
      <c r="K30" s="12">
        <v>0.3</v>
      </c>
      <c r="L30" s="235"/>
    </row>
    <row r="31" spans="3:12" ht="13.5">
      <c r="C31" s="3" t="s">
        <v>78</v>
      </c>
      <c r="D31" s="2">
        <v>5</v>
      </c>
      <c r="E31" s="2" t="s">
        <v>3</v>
      </c>
      <c r="G31" s="99">
        <v>32</v>
      </c>
      <c r="H31" s="35" t="s">
        <v>8</v>
      </c>
      <c r="I31" s="131">
        <v>3.9</v>
      </c>
      <c r="J31" s="134">
        <v>1.2</v>
      </c>
      <c r="K31" s="12">
        <v>0.8</v>
      </c>
      <c r="L31" s="235"/>
    </row>
    <row r="32" spans="7:12" ht="13.5">
      <c r="G32" s="99">
        <v>36</v>
      </c>
      <c r="H32" s="35" t="s">
        <v>8</v>
      </c>
      <c r="I32" s="132">
        <v>4.8</v>
      </c>
      <c r="J32" s="134">
        <v>1.5</v>
      </c>
      <c r="K32" s="137">
        <v>1.1</v>
      </c>
      <c r="L32" s="235"/>
    </row>
    <row r="33" spans="5:12" ht="13.5">
      <c r="E33" s="25" t="s">
        <v>61</v>
      </c>
      <c r="G33" s="99">
        <v>40</v>
      </c>
      <c r="H33" s="35" t="s">
        <v>8</v>
      </c>
      <c r="I33" s="132">
        <v>5.9</v>
      </c>
      <c r="J33" s="134">
        <v>1.9</v>
      </c>
      <c r="K33" s="137">
        <v>1.3</v>
      </c>
      <c r="L33" s="235"/>
    </row>
    <row r="34" spans="3:12" ht="13.5">
      <c r="C34" s="229" t="s">
        <v>53</v>
      </c>
      <c r="D34" s="237"/>
      <c r="E34" s="230"/>
      <c r="G34" s="99">
        <v>44</v>
      </c>
      <c r="H34" s="35" t="s">
        <v>8</v>
      </c>
      <c r="I34" s="133">
        <v>7</v>
      </c>
      <c r="J34" s="135">
        <v>2.2</v>
      </c>
      <c r="K34" s="138">
        <v>1.6</v>
      </c>
      <c r="L34" s="235"/>
    </row>
    <row r="35" spans="3:12" ht="13.5">
      <c r="C35" s="2" t="s">
        <v>54</v>
      </c>
      <c r="D35" s="5">
        <v>41</v>
      </c>
      <c r="E35" s="4" t="s">
        <v>59</v>
      </c>
      <c r="G35" s="153">
        <v>53</v>
      </c>
      <c r="H35" s="35" t="s">
        <v>8</v>
      </c>
      <c r="I35" s="142"/>
      <c r="J35" s="135">
        <v>3.1</v>
      </c>
      <c r="K35" s="138">
        <v>2.2</v>
      </c>
      <c r="L35" s="235"/>
    </row>
    <row r="36" spans="3:12" ht="13.5">
      <c r="C36" s="2" t="s">
        <v>55</v>
      </c>
      <c r="D36" s="5">
        <v>66</v>
      </c>
      <c r="E36" s="4" t="s">
        <v>59</v>
      </c>
      <c r="G36" s="100">
        <v>60</v>
      </c>
      <c r="H36" s="101" t="s">
        <v>8</v>
      </c>
      <c r="I36" s="9"/>
      <c r="J36" s="136">
        <v>3.8</v>
      </c>
      <c r="K36" s="139">
        <v>2.7</v>
      </c>
      <c r="L36" s="236"/>
    </row>
    <row r="37" spans="3:5" ht="13.5">
      <c r="C37" s="2" t="s">
        <v>56</v>
      </c>
      <c r="D37" s="5">
        <v>105</v>
      </c>
      <c r="E37" s="4" t="s">
        <v>59</v>
      </c>
    </row>
    <row r="38" spans="3:15" ht="13.5" customHeight="1">
      <c r="C38" s="2" t="s">
        <v>57</v>
      </c>
      <c r="D38" s="31">
        <v>266</v>
      </c>
      <c r="E38" s="4" t="s">
        <v>59</v>
      </c>
      <c r="G38" s="229" t="s">
        <v>83</v>
      </c>
      <c r="H38" s="237"/>
      <c r="I38" s="237"/>
      <c r="J38" s="237"/>
      <c r="K38" s="230"/>
      <c r="L38" s="234" t="s">
        <v>48</v>
      </c>
      <c r="M38" s="238" t="s">
        <v>91</v>
      </c>
      <c r="N38" s="239"/>
      <c r="O38" s="240"/>
    </row>
    <row r="39" spans="3:15" ht="13.5">
      <c r="C39" s="2" t="s">
        <v>58</v>
      </c>
      <c r="D39" s="5">
        <v>666</v>
      </c>
      <c r="E39" s="4" t="s">
        <v>59</v>
      </c>
      <c r="G39" s="229"/>
      <c r="H39" s="230"/>
      <c r="I39" s="5" t="s">
        <v>35</v>
      </c>
      <c r="J39" s="17" t="s">
        <v>36</v>
      </c>
      <c r="K39" s="4" t="s">
        <v>37</v>
      </c>
      <c r="L39" s="235"/>
      <c r="M39" s="105" t="s">
        <v>35</v>
      </c>
      <c r="N39" s="106" t="s">
        <v>36</v>
      </c>
      <c r="O39" s="107" t="s">
        <v>37</v>
      </c>
    </row>
    <row r="40" spans="3:15" ht="13.5">
      <c r="C40" s="2" t="s">
        <v>60</v>
      </c>
      <c r="D40" s="5">
        <v>1050</v>
      </c>
      <c r="E40" s="4" t="s">
        <v>59</v>
      </c>
      <c r="G40" s="98">
        <v>8</v>
      </c>
      <c r="H40" s="97" t="s">
        <v>8</v>
      </c>
      <c r="I40" s="193">
        <v>0.4</v>
      </c>
      <c r="J40" s="189">
        <v>0.08</v>
      </c>
      <c r="K40" s="190"/>
      <c r="L40" s="235"/>
      <c r="M40" s="104">
        <f>VLOOKUP($J$20,$G$40:$K$48,3)</f>
        <v>6.8</v>
      </c>
      <c r="N40" s="110">
        <f>VLOOKUP($J$20,$G$40:$K$48,4)</f>
        <v>2.1</v>
      </c>
      <c r="O40" s="109">
        <f>VLOOKUP($J$20,$G$40:$K$48,5)</f>
        <v>0.8</v>
      </c>
    </row>
    <row r="41" spans="7:12" ht="13.5">
      <c r="G41" s="191">
        <v>12</v>
      </c>
      <c r="H41" s="192" t="s">
        <v>8</v>
      </c>
      <c r="I41" s="144">
        <v>0.8</v>
      </c>
      <c r="J41" s="200">
        <v>0.26</v>
      </c>
      <c r="K41" s="13">
        <v>0.065</v>
      </c>
      <c r="L41" s="235"/>
    </row>
    <row r="42" spans="3:12" ht="13.5">
      <c r="C42" s="127" t="s">
        <v>90</v>
      </c>
      <c r="D42" s="129" t="str">
        <f>IF(D35&gt;J19,"OK","OUT")</f>
        <v>OK</v>
      </c>
      <c r="G42" s="99">
        <v>20</v>
      </c>
      <c r="H42" s="35" t="s">
        <v>8</v>
      </c>
      <c r="I42" s="133">
        <v>2</v>
      </c>
      <c r="J42" s="146">
        <v>0.6</v>
      </c>
      <c r="K42" s="12">
        <v>0.18</v>
      </c>
      <c r="L42" s="235"/>
    </row>
    <row r="43" spans="3:12" ht="13.5">
      <c r="C43" s="128" t="s">
        <v>36</v>
      </c>
      <c r="D43" s="129" t="str">
        <f>IF(D36&gt;J19,"OK","OUT")</f>
        <v>OK</v>
      </c>
      <c r="G43" s="99">
        <v>32</v>
      </c>
      <c r="H43" s="35" t="s">
        <v>8</v>
      </c>
      <c r="I43" s="145">
        <v>4.6</v>
      </c>
      <c r="J43" s="146">
        <v>1.4</v>
      </c>
      <c r="K43" s="12">
        <v>0.5</v>
      </c>
      <c r="L43" s="235"/>
    </row>
    <row r="44" spans="3:12" ht="13.5">
      <c r="C44" s="128" t="s">
        <v>37</v>
      </c>
      <c r="D44" s="129" t="str">
        <f>IF(D37&gt;J19,"OK","OUT")</f>
        <v>OK</v>
      </c>
      <c r="G44" s="99">
        <v>36</v>
      </c>
      <c r="H44" s="35" t="s">
        <v>8</v>
      </c>
      <c r="I44" s="132">
        <v>5.7</v>
      </c>
      <c r="J44" s="146">
        <v>1.8</v>
      </c>
      <c r="K44" s="137">
        <v>0.6</v>
      </c>
      <c r="L44" s="235"/>
    </row>
    <row r="45" spans="7:12" ht="13.5">
      <c r="G45" s="99">
        <v>40</v>
      </c>
      <c r="H45" s="35" t="s">
        <v>8</v>
      </c>
      <c r="I45" s="145">
        <v>6.8</v>
      </c>
      <c r="J45" s="146">
        <v>2.1</v>
      </c>
      <c r="K45" s="137">
        <v>0.8</v>
      </c>
      <c r="L45" s="235"/>
    </row>
    <row r="46" spans="7:12" ht="13.5">
      <c r="G46" s="99">
        <v>44</v>
      </c>
      <c r="H46" s="35" t="s">
        <v>8</v>
      </c>
      <c r="I46" s="92"/>
      <c r="J46" s="147">
        <v>2.5</v>
      </c>
      <c r="K46" s="138">
        <v>0.9</v>
      </c>
      <c r="L46" s="235"/>
    </row>
    <row r="47" spans="7:12" ht="13.5">
      <c r="G47" s="44">
        <v>53</v>
      </c>
      <c r="H47" s="154" t="s">
        <v>8</v>
      </c>
      <c r="I47" s="92"/>
      <c r="J47" s="147">
        <v>3.5</v>
      </c>
      <c r="K47" s="138">
        <v>1.2</v>
      </c>
      <c r="L47" s="235"/>
    </row>
    <row r="48" spans="7:12" ht="13.5">
      <c r="G48" s="100">
        <v>60</v>
      </c>
      <c r="H48" s="101" t="s">
        <v>8</v>
      </c>
      <c r="I48" s="9"/>
      <c r="J48" s="148">
        <v>4.4</v>
      </c>
      <c r="K48" s="139">
        <v>1.6</v>
      </c>
      <c r="L48" s="236"/>
    </row>
    <row r="49" ht="13.5" customHeight="1"/>
    <row r="50" spans="7:15" ht="13.5" customHeight="1">
      <c r="G50" s="229" t="s">
        <v>82</v>
      </c>
      <c r="H50" s="237"/>
      <c r="I50" s="237"/>
      <c r="J50" s="237"/>
      <c r="K50" s="230"/>
      <c r="L50" s="234" t="s">
        <v>47</v>
      </c>
      <c r="M50" s="238" t="s">
        <v>95</v>
      </c>
      <c r="N50" s="239"/>
      <c r="O50" s="240"/>
    </row>
    <row r="51" spans="7:15" ht="13.5">
      <c r="G51" s="229"/>
      <c r="H51" s="230"/>
      <c r="I51" s="5" t="s">
        <v>35</v>
      </c>
      <c r="J51" s="17" t="s">
        <v>36</v>
      </c>
      <c r="K51" s="4" t="s">
        <v>37</v>
      </c>
      <c r="L51" s="235"/>
      <c r="M51" s="105" t="s">
        <v>35</v>
      </c>
      <c r="N51" s="106" t="s">
        <v>36</v>
      </c>
      <c r="O51" s="107" t="s">
        <v>37</v>
      </c>
    </row>
    <row r="52" spans="7:15" ht="13.5">
      <c r="G52" s="98">
        <v>12</v>
      </c>
      <c r="H52" s="97" t="s">
        <v>8</v>
      </c>
      <c r="I52" s="144">
        <v>0.6</v>
      </c>
      <c r="J52" s="18">
        <v>0.07</v>
      </c>
      <c r="K52" s="21">
        <v>0.03</v>
      </c>
      <c r="L52" s="235"/>
      <c r="M52" s="104">
        <f>VLOOKUP($J$21,$G$52:$K$59,3)</f>
        <v>5.5</v>
      </c>
      <c r="N52" s="110">
        <f>VLOOKUP($J$21,$G$52:$K$59,4)</f>
        <v>0.7</v>
      </c>
      <c r="O52" s="109">
        <f>VLOOKUP($J$21,$G$52:$K$59,5)</f>
        <v>0.27</v>
      </c>
    </row>
    <row r="53" spans="7:12" ht="13.5">
      <c r="G53" s="99">
        <v>20</v>
      </c>
      <c r="H53" s="35" t="s">
        <v>8</v>
      </c>
      <c r="I53" s="145">
        <v>1.6</v>
      </c>
      <c r="J53" s="146">
        <v>0.2</v>
      </c>
      <c r="K53" s="22">
        <v>0.08</v>
      </c>
      <c r="L53" s="235"/>
    </row>
    <row r="54" spans="7:12" ht="13.5">
      <c r="G54" s="99">
        <v>32</v>
      </c>
      <c r="H54" s="35" t="s">
        <v>8</v>
      </c>
      <c r="I54" s="145">
        <v>3.7</v>
      </c>
      <c r="J54" s="146">
        <v>0.5</v>
      </c>
      <c r="K54" s="22">
        <v>0.2</v>
      </c>
      <c r="L54" s="235"/>
    </row>
    <row r="55" spans="7:12" ht="13.5">
      <c r="G55" s="99">
        <v>36</v>
      </c>
      <c r="H55" s="35" t="s">
        <v>8</v>
      </c>
      <c r="I55" s="145">
        <v>4.5</v>
      </c>
      <c r="J55" s="146">
        <v>0.6</v>
      </c>
      <c r="K55" s="149">
        <v>0.22</v>
      </c>
      <c r="L55" s="235"/>
    </row>
    <row r="56" spans="7:12" ht="13.5">
      <c r="G56" s="99">
        <v>40</v>
      </c>
      <c r="H56" s="35" t="s">
        <v>8</v>
      </c>
      <c r="I56" s="145">
        <v>5.5</v>
      </c>
      <c r="J56" s="146">
        <v>0.7</v>
      </c>
      <c r="K56" s="149">
        <v>0.27</v>
      </c>
      <c r="L56" s="235"/>
    </row>
    <row r="57" spans="7:12" ht="13.5">
      <c r="G57" s="99">
        <v>44</v>
      </c>
      <c r="H57" s="35" t="s">
        <v>8</v>
      </c>
      <c r="I57" s="93"/>
      <c r="J57" s="147">
        <v>0.9</v>
      </c>
      <c r="K57" s="150">
        <v>0.31</v>
      </c>
      <c r="L57" s="235"/>
    </row>
    <row r="58" spans="7:12" ht="13.5">
      <c r="G58" s="153">
        <v>53</v>
      </c>
      <c r="H58" s="35" t="s">
        <v>8</v>
      </c>
      <c r="I58" s="93"/>
      <c r="J58" s="147">
        <v>1.2</v>
      </c>
      <c r="K58" s="150">
        <v>0.44</v>
      </c>
      <c r="L58" s="235"/>
    </row>
    <row r="59" spans="7:12" ht="13.5">
      <c r="G59" s="100">
        <v>60</v>
      </c>
      <c r="H59" s="101" t="s">
        <v>8</v>
      </c>
      <c r="I59" s="23"/>
      <c r="J59" s="148">
        <v>1.5</v>
      </c>
      <c r="K59" s="151">
        <v>0.54</v>
      </c>
      <c r="L59" s="236"/>
    </row>
    <row r="60" ht="13.5">
      <c r="G60" s="46"/>
    </row>
  </sheetData>
  <sheetProtection/>
  <mergeCells count="25">
    <mergeCell ref="E23:F23"/>
    <mergeCell ref="M50:O50"/>
    <mergeCell ref="G51:H51"/>
    <mergeCell ref="M27:O27"/>
    <mergeCell ref="G28:H28"/>
    <mergeCell ref="G50:K50"/>
    <mergeCell ref="L50:L59"/>
    <mergeCell ref="G38:K38"/>
    <mergeCell ref="L38:L48"/>
    <mergeCell ref="M38:O38"/>
    <mergeCell ref="E9:F9"/>
    <mergeCell ref="H9:I10"/>
    <mergeCell ref="Q9:Q10"/>
    <mergeCell ref="L11:M11"/>
    <mergeCell ref="H18:H21"/>
    <mergeCell ref="I18:I21"/>
    <mergeCell ref="L19:M19"/>
    <mergeCell ref="L20:M20"/>
    <mergeCell ref="L21:M21"/>
    <mergeCell ref="C25:K25"/>
    <mergeCell ref="C27:E27"/>
    <mergeCell ref="L27:L36"/>
    <mergeCell ref="G27:K27"/>
    <mergeCell ref="C34:E34"/>
    <mergeCell ref="G39:H39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showZeros="0" zoomScaleSheetLayoutView="85" zoomScalePageLayoutView="0" workbookViewId="0" topLeftCell="A1">
      <selection activeCell="P25" sqref="P25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7" max="17" width="13.753906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7</v>
      </c>
      <c r="E5" s="48" t="s">
        <v>3</v>
      </c>
      <c r="F5" s="48" t="s">
        <v>66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IF(D5=1,1,IF(D5&lt;5,2,IF(D5&lt;11,3,IF(D5&lt;16,4,0))))</f>
        <v>3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87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169</v>
      </c>
      <c r="C10" s="2" t="s">
        <v>135</v>
      </c>
      <c r="D10" s="3">
        <v>13</v>
      </c>
      <c r="E10" s="5">
        <v>12</v>
      </c>
      <c r="F10" s="4" t="s">
        <v>8</v>
      </c>
      <c r="G10" s="48"/>
      <c r="H10" s="250"/>
      <c r="I10" s="251"/>
      <c r="J10" s="56" t="s">
        <v>8</v>
      </c>
      <c r="K10" s="57" t="s">
        <v>31</v>
      </c>
      <c r="L10" s="58" t="s">
        <v>32</v>
      </c>
      <c r="M10" s="58" t="s">
        <v>33</v>
      </c>
      <c r="N10" s="57" t="s">
        <v>33</v>
      </c>
      <c r="O10" s="57" t="s">
        <v>33</v>
      </c>
      <c r="P10" s="59" t="s">
        <v>33</v>
      </c>
      <c r="Q10" s="247"/>
    </row>
    <row r="11" spans="2:17" ht="15" customHeight="1" thickBot="1">
      <c r="B11" s="3" t="s">
        <v>170</v>
      </c>
      <c r="C11" s="2" t="s">
        <v>28</v>
      </c>
      <c r="D11" s="3">
        <v>13</v>
      </c>
      <c r="E11" s="5">
        <v>8</v>
      </c>
      <c r="F11" s="4" t="s">
        <v>8</v>
      </c>
      <c r="G11" s="48"/>
      <c r="H11" s="86" t="s">
        <v>23</v>
      </c>
      <c r="I11" s="52" t="s">
        <v>9</v>
      </c>
      <c r="J11" s="1">
        <v>12</v>
      </c>
      <c r="K11" s="1">
        <v>13</v>
      </c>
      <c r="L11" s="244" t="s">
        <v>26</v>
      </c>
      <c r="M11" s="245"/>
      <c r="N11" s="1">
        <v>0.8</v>
      </c>
      <c r="O11" s="209"/>
      <c r="P11" s="60">
        <f aca="true" t="shared" si="0" ref="P11:P23">+N11+O11</f>
        <v>0.8</v>
      </c>
      <c r="Q11" s="60" t="s">
        <v>50</v>
      </c>
    </row>
    <row r="12" spans="2:21" ht="15" customHeight="1" thickBot="1">
      <c r="B12" s="3" t="s">
        <v>171</v>
      </c>
      <c r="C12" s="2" t="s">
        <v>29</v>
      </c>
      <c r="D12" s="3">
        <v>13</v>
      </c>
      <c r="E12" s="5">
        <v>12</v>
      </c>
      <c r="F12" s="4" t="s">
        <v>8</v>
      </c>
      <c r="G12" s="48"/>
      <c r="H12" s="87" t="s">
        <v>24</v>
      </c>
      <c r="I12" s="88" t="s">
        <v>172</v>
      </c>
      <c r="J12" s="1">
        <v>12</v>
      </c>
      <c r="K12" s="1">
        <v>13</v>
      </c>
      <c r="L12" s="206">
        <f>IF(+U12&gt;50,ROUND(+U12,-1),+U12)</f>
        <v>230</v>
      </c>
      <c r="M12" s="207">
        <v>6</v>
      </c>
      <c r="N12" s="68">
        <f>ROUND(+L12/1000*M12,2)</f>
        <v>1.38</v>
      </c>
      <c r="O12" s="207">
        <v>3.5</v>
      </c>
      <c r="P12" s="170">
        <f t="shared" si="0"/>
        <v>4.88</v>
      </c>
      <c r="Q12" s="61"/>
      <c r="R12" t="s">
        <v>39</v>
      </c>
      <c r="S12">
        <f aca="true" t="shared" si="1" ref="S12:S20">IF(J12&gt;0,ROUND(+J12/1000/60*4/(PI()*(K12/1000)^2),2),0)</f>
        <v>1.51</v>
      </c>
      <c r="T12" t="s">
        <v>21</v>
      </c>
      <c r="U12">
        <f aca="true" t="shared" si="2" ref="U12:U20">IF(J12&gt;0,ROUND(((0.0126+(0.01739-0.1087*+K12/1000)/S12^0.5)*((+S12^2/19.6)/(+K12/1000)))*1000,0),0)</f>
        <v>229</v>
      </c>
    </row>
    <row r="13" spans="2:17" ht="15" customHeight="1" thickBot="1">
      <c r="B13" s="3"/>
      <c r="C13" s="2"/>
      <c r="D13" s="2"/>
      <c r="E13" s="5"/>
      <c r="F13" s="4"/>
      <c r="G13" s="48"/>
      <c r="H13" s="86"/>
      <c r="I13" s="177" t="s">
        <v>121</v>
      </c>
      <c r="J13" s="172"/>
      <c r="K13" s="173"/>
      <c r="L13" s="208"/>
      <c r="M13" s="208"/>
      <c r="N13" s="174"/>
      <c r="O13" s="210"/>
      <c r="P13" s="171">
        <f>SUM(P11:P12)</f>
        <v>5.68</v>
      </c>
      <c r="Q13" s="180" t="s">
        <v>137</v>
      </c>
    </row>
    <row r="14" spans="2:17" ht="15" customHeight="1" thickBot="1">
      <c r="B14" s="49"/>
      <c r="C14" s="50"/>
      <c r="D14" s="3" t="s">
        <v>22</v>
      </c>
      <c r="E14" s="5">
        <f>SUM(E10:E13)</f>
        <v>32</v>
      </c>
      <c r="F14" s="4" t="s">
        <v>8</v>
      </c>
      <c r="G14" s="48"/>
      <c r="H14" s="86" t="s">
        <v>23</v>
      </c>
      <c r="I14" s="52" t="s">
        <v>173</v>
      </c>
      <c r="J14" s="1">
        <v>12</v>
      </c>
      <c r="K14" s="1">
        <v>13</v>
      </c>
      <c r="L14" s="257" t="s">
        <v>26</v>
      </c>
      <c r="M14" s="258"/>
      <c r="N14" s="1">
        <v>0.8</v>
      </c>
      <c r="O14" s="211"/>
      <c r="P14" s="60">
        <f>+N14+O14</f>
        <v>0.8</v>
      </c>
      <c r="Q14" s="60" t="s">
        <v>50</v>
      </c>
    </row>
    <row r="15" spans="2:21" ht="15" customHeight="1" thickBot="1">
      <c r="B15" s="52"/>
      <c r="C15" s="51"/>
      <c r="D15" s="52"/>
      <c r="E15" s="51"/>
      <c r="F15" s="51"/>
      <c r="G15" s="48"/>
      <c r="H15" s="87" t="s">
        <v>24</v>
      </c>
      <c r="I15" s="88" t="s">
        <v>174</v>
      </c>
      <c r="J15" s="1">
        <v>12</v>
      </c>
      <c r="K15" s="1">
        <v>13</v>
      </c>
      <c r="L15" s="206">
        <f>IF(+U15&gt;50,ROUND(+U15,-1),+U15)</f>
        <v>230</v>
      </c>
      <c r="M15" s="207">
        <v>2</v>
      </c>
      <c r="N15" s="68">
        <f>ROUND(+L15/1000*M15,2)</f>
        <v>0.46</v>
      </c>
      <c r="O15" s="207">
        <v>1</v>
      </c>
      <c r="P15" s="170">
        <f>+N15+O15</f>
        <v>1.46</v>
      </c>
      <c r="Q15" s="61"/>
      <c r="R15" t="s">
        <v>39</v>
      </c>
      <c r="S15">
        <f t="shared" si="1"/>
        <v>1.51</v>
      </c>
      <c r="T15" t="s">
        <v>21</v>
      </c>
      <c r="U15">
        <f t="shared" si="2"/>
        <v>229</v>
      </c>
    </row>
    <row r="16" spans="2:21" ht="15" customHeight="1" thickBot="1">
      <c r="B16" s="52"/>
      <c r="C16" s="51"/>
      <c r="D16" s="52"/>
      <c r="E16" s="51"/>
      <c r="F16" s="51"/>
      <c r="G16" s="48"/>
      <c r="H16" s="87" t="s">
        <v>24</v>
      </c>
      <c r="I16" s="88" t="s">
        <v>175</v>
      </c>
      <c r="J16" s="225">
        <v>12</v>
      </c>
      <c r="K16" s="1">
        <v>20</v>
      </c>
      <c r="L16" s="206">
        <f>IF(+U16&gt;50,ROUND(+U16,-1),+U16)</f>
        <v>33</v>
      </c>
      <c r="M16" s="207">
        <v>9</v>
      </c>
      <c r="N16" s="68">
        <f>ROUND(+L16/1000*M16,2)</f>
        <v>0.3</v>
      </c>
      <c r="O16" s="207"/>
      <c r="P16" s="228">
        <f>+N16+O16</f>
        <v>0.3</v>
      </c>
      <c r="Q16" s="227"/>
      <c r="R16" t="s">
        <v>39</v>
      </c>
      <c r="S16">
        <f>IF(J16&gt;0,ROUND(+J16/1000/60*4/(PI()*(K16/1000)^2),2),0)</f>
        <v>0.64</v>
      </c>
      <c r="T16" t="s">
        <v>21</v>
      </c>
      <c r="U16">
        <f>IF(J16&gt;0,ROUND(((0.0126+(0.01739-0.1087*+K16/1000)/S16^0.5)*((+S16^2/19.6)/(+K16/1000)))*1000,0),0)</f>
        <v>33</v>
      </c>
    </row>
    <row r="17" spans="2:17" ht="15" customHeight="1" thickBot="1">
      <c r="B17" s="48"/>
      <c r="C17" s="48"/>
      <c r="D17" s="48"/>
      <c r="E17" s="48"/>
      <c r="F17" s="48"/>
      <c r="G17" s="48"/>
      <c r="H17" s="86"/>
      <c r="I17" s="177" t="s">
        <v>121</v>
      </c>
      <c r="J17" s="172"/>
      <c r="K17" s="173"/>
      <c r="L17" s="226"/>
      <c r="M17" s="208"/>
      <c r="N17" s="123"/>
      <c r="O17" s="210"/>
      <c r="P17" s="171">
        <f>SUM(P14:P15)</f>
        <v>2.26</v>
      </c>
      <c r="Q17" s="284" t="s">
        <v>176</v>
      </c>
    </row>
    <row r="18" spans="2:21" ht="15" customHeight="1" thickBot="1">
      <c r="B18" s="51"/>
      <c r="C18" s="48"/>
      <c r="D18" s="51"/>
      <c r="E18" s="51"/>
      <c r="F18" s="51"/>
      <c r="G18" s="48"/>
      <c r="H18" s="87" t="s">
        <v>24</v>
      </c>
      <c r="I18" s="88" t="s">
        <v>125</v>
      </c>
      <c r="J18" s="1">
        <v>24</v>
      </c>
      <c r="K18" s="1">
        <v>20</v>
      </c>
      <c r="L18" s="206">
        <f>IF(+U18&gt;50,ROUND(+U18,-1),+U18)</f>
        <v>110</v>
      </c>
      <c r="M18" s="207">
        <v>1.5</v>
      </c>
      <c r="N18" s="68">
        <f>ROUND(+L18/1000*M18,2)</f>
        <v>0.17</v>
      </c>
      <c r="O18" s="207"/>
      <c r="P18" s="60">
        <f>+N18+O18</f>
        <v>0.17</v>
      </c>
      <c r="Q18" s="61"/>
      <c r="R18" t="s">
        <v>39</v>
      </c>
      <c r="S18">
        <f>IF(J18&gt;0,ROUND(+J18/1000/60*4/(PI()*(K18/1000)^2),2),0)</f>
        <v>1.27</v>
      </c>
      <c r="T18" t="s">
        <v>21</v>
      </c>
      <c r="U18">
        <f>IF(J18&gt;0,ROUND(((0.0126+(0.01739-0.1087*+K18/1000)/S18^0.5)*((+S18^2/19.6)/(+K18/1000)))*1000,0),0)</f>
        <v>107</v>
      </c>
    </row>
    <row r="19" spans="1:21" ht="15" customHeight="1" thickBot="1">
      <c r="A19" s="11"/>
      <c r="B19" s="52"/>
      <c r="C19" s="51"/>
      <c r="D19" s="51"/>
      <c r="E19" s="51"/>
      <c r="F19" s="51"/>
      <c r="G19" s="48"/>
      <c r="H19" s="87" t="s">
        <v>24</v>
      </c>
      <c r="I19" s="90" t="s">
        <v>126</v>
      </c>
      <c r="J19" s="62">
        <f>+E14</f>
        <v>32</v>
      </c>
      <c r="K19" s="1">
        <v>20</v>
      </c>
      <c r="L19" s="206">
        <f>IF(+U19&gt;50,ROUND(+U19,-1),+U19)</f>
        <v>180</v>
      </c>
      <c r="M19" s="207">
        <v>8</v>
      </c>
      <c r="N19" s="69">
        <f>ROUND(+L19/1000*M19,2)</f>
        <v>1.44</v>
      </c>
      <c r="O19" s="207">
        <v>0</v>
      </c>
      <c r="P19" s="62">
        <f t="shared" si="0"/>
        <v>1.44</v>
      </c>
      <c r="Q19" s="62"/>
      <c r="R19" t="s">
        <v>39</v>
      </c>
      <c r="S19">
        <f t="shared" si="1"/>
        <v>1.7</v>
      </c>
      <c r="T19" t="s">
        <v>21</v>
      </c>
      <c r="U19">
        <f t="shared" si="2"/>
        <v>179</v>
      </c>
    </row>
    <row r="20" spans="1:21" ht="15" customHeight="1" thickBot="1">
      <c r="A20" s="11"/>
      <c r="B20" s="51"/>
      <c r="C20" s="51"/>
      <c r="D20" s="51"/>
      <c r="E20" s="51"/>
      <c r="F20" s="51"/>
      <c r="G20" s="48"/>
      <c r="H20" s="252" t="s">
        <v>27</v>
      </c>
      <c r="I20" s="254" t="s">
        <v>127</v>
      </c>
      <c r="J20" s="62">
        <f>+J19</f>
        <v>32</v>
      </c>
      <c r="K20" s="1">
        <v>20</v>
      </c>
      <c r="L20" s="206">
        <f>IF(+U20&gt;50,ROUND(+U20,-1),+U20)</f>
        <v>180</v>
      </c>
      <c r="M20" s="207">
        <v>5</v>
      </c>
      <c r="N20" s="69">
        <f>ROUND(+L20/1000*M20,2)</f>
        <v>0.9</v>
      </c>
      <c r="O20" s="207">
        <v>0.9</v>
      </c>
      <c r="P20" s="62">
        <f t="shared" si="0"/>
        <v>1.8</v>
      </c>
      <c r="Q20" s="62"/>
      <c r="R20" t="s">
        <v>39</v>
      </c>
      <c r="S20">
        <f t="shared" si="1"/>
        <v>1.7</v>
      </c>
      <c r="T20" t="s">
        <v>21</v>
      </c>
      <c r="U20">
        <f t="shared" si="2"/>
        <v>179</v>
      </c>
    </row>
    <row r="21" spans="1:17" ht="15" customHeight="1" thickBot="1">
      <c r="A21" s="11"/>
      <c r="B21" s="51"/>
      <c r="C21" s="51"/>
      <c r="D21" s="51"/>
      <c r="E21" s="51"/>
      <c r="F21" s="51"/>
      <c r="G21" s="48"/>
      <c r="H21" s="253"/>
      <c r="I21" s="255"/>
      <c r="J21" s="62">
        <f>+J20</f>
        <v>32</v>
      </c>
      <c r="K21" s="1">
        <v>13</v>
      </c>
      <c r="L21" s="231" t="s">
        <v>20</v>
      </c>
      <c r="M21" s="232"/>
      <c r="N21" s="108">
        <f>IF(K21=13,M31,IF(K21=20,N31,(IF(K21=25,O31,""))))</f>
        <v>3.9</v>
      </c>
      <c r="O21" s="212"/>
      <c r="P21" s="62">
        <f t="shared" si="0"/>
        <v>3.9</v>
      </c>
      <c r="Q21" s="62" t="s">
        <v>51</v>
      </c>
    </row>
    <row r="22" spans="1:17" ht="15" customHeight="1" thickBot="1">
      <c r="A22" s="11"/>
      <c r="B22" s="48"/>
      <c r="C22" s="48"/>
      <c r="D22" s="48"/>
      <c r="E22" s="48"/>
      <c r="F22" s="48"/>
      <c r="G22" s="48"/>
      <c r="H22" s="253"/>
      <c r="I22" s="255"/>
      <c r="J22" s="62">
        <f>+J20</f>
        <v>32</v>
      </c>
      <c r="K22" s="1">
        <v>20</v>
      </c>
      <c r="L22" s="231" t="s">
        <v>19</v>
      </c>
      <c r="M22" s="232"/>
      <c r="N22" s="108">
        <f>IF(K22=13,M42,IF(K22=20,N42,(IF(K22=25,O42,""))))</f>
        <v>1.4</v>
      </c>
      <c r="O22" s="212"/>
      <c r="P22" s="62">
        <f t="shared" si="0"/>
        <v>1.4</v>
      </c>
      <c r="Q22" s="62" t="s">
        <v>50</v>
      </c>
    </row>
    <row r="23" spans="2:17" ht="15" customHeight="1" thickBot="1">
      <c r="B23" s="48"/>
      <c r="C23" s="48"/>
      <c r="D23" s="48"/>
      <c r="E23" s="48"/>
      <c r="F23" s="48"/>
      <c r="G23" s="48"/>
      <c r="H23" s="250"/>
      <c r="I23" s="251"/>
      <c r="J23" s="73">
        <f>+J20</f>
        <v>32</v>
      </c>
      <c r="K23" s="1">
        <v>20</v>
      </c>
      <c r="L23" s="242" t="s">
        <v>40</v>
      </c>
      <c r="M23" s="243"/>
      <c r="N23" s="111">
        <f>IF(K23=13,M54,IF(K23=20,N54,(IF(K23=25,O54,""))))</f>
        <v>0.5</v>
      </c>
      <c r="O23" s="213"/>
      <c r="P23" s="63">
        <f t="shared" si="0"/>
        <v>0.5</v>
      </c>
      <c r="Q23" s="63" t="s">
        <v>49</v>
      </c>
    </row>
    <row r="24" spans="2:17" ht="1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4" t="s">
        <v>22</v>
      </c>
      <c r="P24" s="10">
        <f>SUM(P13,P18:P23)</f>
        <v>14.89</v>
      </c>
      <c r="Q24" s="126" t="str">
        <f>+"流速"&amp;+S20&amp;+"m/S"</f>
        <v>流速1.7m/S</v>
      </c>
    </row>
    <row r="25" spans="2:17" ht="15" customHeight="1">
      <c r="B25" s="48"/>
      <c r="C25" s="124" t="s">
        <v>106</v>
      </c>
      <c r="D25" s="48"/>
      <c r="E25" s="256" t="str">
        <f>IF(K21=13,D44,IF(K21=20,D45,IF(K21=25,D46,"")))</f>
        <v>OK</v>
      </c>
      <c r="F25" s="256"/>
      <c r="G25" s="48"/>
      <c r="H25" s="48"/>
      <c r="I25" s="48"/>
      <c r="J25" s="48"/>
      <c r="K25" s="48"/>
      <c r="L25" s="65" t="s">
        <v>108</v>
      </c>
      <c r="M25" s="66" t="str">
        <f>IF((20.4-P24)&gt;0,"＞","＜")</f>
        <v>＞</v>
      </c>
      <c r="N25" s="48" t="str">
        <f>+P24/10&amp;+"ｋｇｆ/cm2"</f>
        <v>1.489ｋｇｆ/cm2</v>
      </c>
      <c r="O25" s="48"/>
      <c r="P25" s="67" t="str">
        <f>IF((20.4-P24)&gt;0,"OK","OUT")</f>
        <v>OK</v>
      </c>
      <c r="Q25" s="125" t="str">
        <f>IF(S20&lt;2,"OK","OUT")</f>
        <v>OK</v>
      </c>
    </row>
    <row r="26" ht="15" customHeight="1"/>
    <row r="27" spans="3:11" ht="15" customHeight="1">
      <c r="C27" s="233" t="s">
        <v>80</v>
      </c>
      <c r="D27" s="233"/>
      <c r="E27" s="233"/>
      <c r="F27" s="233"/>
      <c r="G27" s="233"/>
      <c r="H27" s="233"/>
      <c r="I27" s="233"/>
      <c r="J27" s="233"/>
      <c r="K27" s="233"/>
    </row>
    <row r="29" spans="3:15" ht="13.5" customHeight="1">
      <c r="C29" s="241" t="s">
        <v>75</v>
      </c>
      <c r="D29" s="241"/>
      <c r="E29" s="241"/>
      <c r="G29" s="229" t="s">
        <v>34</v>
      </c>
      <c r="H29" s="237"/>
      <c r="I29" s="237"/>
      <c r="J29" s="237"/>
      <c r="K29" s="230"/>
      <c r="L29" s="234" t="s">
        <v>46</v>
      </c>
      <c r="M29" s="238" t="s">
        <v>94</v>
      </c>
      <c r="N29" s="239"/>
      <c r="O29" s="240"/>
    </row>
    <row r="30" spans="3:15" ht="13.5">
      <c r="C30" s="3" t="s">
        <v>74</v>
      </c>
      <c r="D30" s="2">
        <v>2</v>
      </c>
      <c r="E30" s="2" t="s">
        <v>3</v>
      </c>
      <c r="G30" s="229"/>
      <c r="H30" s="230"/>
      <c r="I30" s="94" t="s">
        <v>35</v>
      </c>
      <c r="J30" s="96" t="s">
        <v>36</v>
      </c>
      <c r="K30" s="95" t="s">
        <v>37</v>
      </c>
      <c r="L30" s="235"/>
      <c r="M30" s="105" t="s">
        <v>35</v>
      </c>
      <c r="N30" s="106" t="s">
        <v>36</v>
      </c>
      <c r="O30" s="107" t="s">
        <v>37</v>
      </c>
    </row>
    <row r="31" spans="3:15" ht="13.5">
      <c r="C31" s="3" t="s">
        <v>76</v>
      </c>
      <c r="D31" s="2">
        <v>3</v>
      </c>
      <c r="E31" s="2" t="s">
        <v>3</v>
      </c>
      <c r="G31" s="98">
        <v>12</v>
      </c>
      <c r="H31" s="97" t="s">
        <v>8</v>
      </c>
      <c r="I31" s="130">
        <v>0.8</v>
      </c>
      <c r="J31" s="7">
        <v>0.18</v>
      </c>
      <c r="K31" s="13">
        <v>0.14</v>
      </c>
      <c r="L31" s="235"/>
      <c r="M31" s="104">
        <f>VLOOKUP($J$21,$G$31:$K$38,3)</f>
        <v>3.9</v>
      </c>
      <c r="N31" s="110">
        <f>VLOOKUP($J$21,$G$31:$K$38,4)</f>
        <v>1.2</v>
      </c>
      <c r="O31" s="109">
        <f>VLOOKUP($J$21,$G$31:$K$38,5)</f>
        <v>0.8</v>
      </c>
    </row>
    <row r="32" spans="3:12" ht="13.5">
      <c r="C32" s="3" t="s">
        <v>77</v>
      </c>
      <c r="D32" s="2">
        <v>4</v>
      </c>
      <c r="E32" s="2" t="s">
        <v>3</v>
      </c>
      <c r="G32" s="99">
        <v>20</v>
      </c>
      <c r="H32" s="35" t="s">
        <v>8</v>
      </c>
      <c r="I32" s="131">
        <v>1.7</v>
      </c>
      <c r="J32" s="134">
        <v>0.6</v>
      </c>
      <c r="K32" s="12">
        <v>0.3</v>
      </c>
      <c r="L32" s="235"/>
    </row>
    <row r="33" spans="3:12" ht="13.5">
      <c r="C33" s="3" t="s">
        <v>78</v>
      </c>
      <c r="D33" s="2">
        <v>5</v>
      </c>
      <c r="E33" s="2" t="s">
        <v>3</v>
      </c>
      <c r="G33" s="99">
        <v>32</v>
      </c>
      <c r="H33" s="35" t="s">
        <v>8</v>
      </c>
      <c r="I33" s="131">
        <v>3.9</v>
      </c>
      <c r="J33" s="134">
        <v>1.2</v>
      </c>
      <c r="K33" s="12">
        <v>0.8</v>
      </c>
      <c r="L33" s="235"/>
    </row>
    <row r="34" spans="7:12" ht="13.5">
      <c r="G34" s="99">
        <v>36</v>
      </c>
      <c r="H34" s="35" t="s">
        <v>8</v>
      </c>
      <c r="I34" s="132">
        <v>4.8</v>
      </c>
      <c r="J34" s="134">
        <v>1.5</v>
      </c>
      <c r="K34" s="137">
        <v>1.1</v>
      </c>
      <c r="L34" s="235"/>
    </row>
    <row r="35" spans="5:12" ht="13.5">
      <c r="E35" s="25" t="s">
        <v>61</v>
      </c>
      <c r="G35" s="99">
        <v>40</v>
      </c>
      <c r="H35" s="35" t="s">
        <v>8</v>
      </c>
      <c r="I35" s="132">
        <v>5.9</v>
      </c>
      <c r="J35" s="134">
        <v>1.9</v>
      </c>
      <c r="K35" s="137">
        <v>1.3</v>
      </c>
      <c r="L35" s="235"/>
    </row>
    <row r="36" spans="3:12" ht="13.5">
      <c r="C36" s="229" t="s">
        <v>53</v>
      </c>
      <c r="D36" s="237"/>
      <c r="E36" s="230"/>
      <c r="G36" s="99">
        <v>44</v>
      </c>
      <c r="H36" s="35" t="s">
        <v>8</v>
      </c>
      <c r="I36" s="133">
        <v>7</v>
      </c>
      <c r="J36" s="135">
        <v>2.2</v>
      </c>
      <c r="K36" s="138">
        <v>1.6</v>
      </c>
      <c r="L36" s="235"/>
    </row>
    <row r="37" spans="3:12" ht="13.5">
      <c r="C37" s="2" t="s">
        <v>54</v>
      </c>
      <c r="D37" s="5">
        <v>41</v>
      </c>
      <c r="E37" s="4" t="s">
        <v>59</v>
      </c>
      <c r="G37" s="153">
        <v>53</v>
      </c>
      <c r="H37" s="35" t="s">
        <v>8</v>
      </c>
      <c r="I37" s="142"/>
      <c r="J37" s="135">
        <v>3.1</v>
      </c>
      <c r="K37" s="138">
        <v>2.2</v>
      </c>
      <c r="L37" s="235"/>
    </row>
    <row r="38" spans="3:12" ht="13.5">
      <c r="C38" s="2" t="s">
        <v>55</v>
      </c>
      <c r="D38" s="5">
        <v>66</v>
      </c>
      <c r="E38" s="4" t="s">
        <v>59</v>
      </c>
      <c r="G38" s="100">
        <v>60</v>
      </c>
      <c r="H38" s="101" t="s">
        <v>8</v>
      </c>
      <c r="I38" s="9"/>
      <c r="J38" s="136">
        <v>3.8</v>
      </c>
      <c r="K38" s="139">
        <v>2.7</v>
      </c>
      <c r="L38" s="236"/>
    </row>
    <row r="39" spans="3:5" ht="13.5">
      <c r="C39" s="2" t="s">
        <v>56</v>
      </c>
      <c r="D39" s="5">
        <v>105</v>
      </c>
      <c r="E39" s="4" t="s">
        <v>59</v>
      </c>
    </row>
    <row r="40" spans="3:15" ht="13.5" customHeight="1">
      <c r="C40" s="2" t="s">
        <v>57</v>
      </c>
      <c r="D40" s="31">
        <v>266</v>
      </c>
      <c r="E40" s="4" t="s">
        <v>59</v>
      </c>
      <c r="G40" s="229" t="s">
        <v>83</v>
      </c>
      <c r="H40" s="237"/>
      <c r="I40" s="237"/>
      <c r="J40" s="237"/>
      <c r="K40" s="230"/>
      <c r="L40" s="234" t="s">
        <v>48</v>
      </c>
      <c r="M40" s="238" t="s">
        <v>91</v>
      </c>
      <c r="N40" s="239"/>
      <c r="O40" s="240"/>
    </row>
    <row r="41" spans="3:15" ht="13.5">
      <c r="C41" s="2" t="s">
        <v>58</v>
      </c>
      <c r="D41" s="5">
        <v>666</v>
      </c>
      <c r="E41" s="4" t="s">
        <v>59</v>
      </c>
      <c r="G41" s="229"/>
      <c r="H41" s="230"/>
      <c r="I41" s="5" t="s">
        <v>35</v>
      </c>
      <c r="J41" s="17" t="s">
        <v>36</v>
      </c>
      <c r="K41" s="4" t="s">
        <v>37</v>
      </c>
      <c r="L41" s="235"/>
      <c r="M41" s="105" t="s">
        <v>35</v>
      </c>
      <c r="N41" s="106" t="s">
        <v>36</v>
      </c>
      <c r="O41" s="107" t="s">
        <v>37</v>
      </c>
    </row>
    <row r="42" spans="3:15" ht="13.5">
      <c r="C42" s="2" t="s">
        <v>60</v>
      </c>
      <c r="D42" s="5">
        <v>1050</v>
      </c>
      <c r="E42" s="4" t="s">
        <v>59</v>
      </c>
      <c r="G42" s="98">
        <v>8</v>
      </c>
      <c r="H42" s="97" t="s">
        <v>8</v>
      </c>
      <c r="I42" s="193">
        <v>0.4</v>
      </c>
      <c r="J42" s="189">
        <v>0.08</v>
      </c>
      <c r="K42" s="190"/>
      <c r="L42" s="235"/>
      <c r="M42" s="104">
        <f>VLOOKUP($J$22,$G$42:$K$50,3)</f>
        <v>4.6</v>
      </c>
      <c r="N42" s="110">
        <f>VLOOKUP($J$22,$G$42:$K$50,4)</f>
        <v>1.4</v>
      </c>
      <c r="O42" s="109">
        <f>VLOOKUP($J$22,$G$42:$K$50,5)</f>
        <v>0.5</v>
      </c>
    </row>
    <row r="43" spans="7:12" ht="13.5">
      <c r="G43" s="191">
        <v>12</v>
      </c>
      <c r="H43" s="192" t="s">
        <v>8</v>
      </c>
      <c r="I43" s="144">
        <v>0.8</v>
      </c>
      <c r="J43" s="200">
        <v>0.26</v>
      </c>
      <c r="K43" s="13">
        <v>0.065</v>
      </c>
      <c r="L43" s="235"/>
    </row>
    <row r="44" spans="3:12" ht="13.5">
      <c r="C44" s="127" t="s">
        <v>90</v>
      </c>
      <c r="D44" s="129" t="str">
        <f>IF(D37&gt;J21,"OK","OUT")</f>
        <v>OK</v>
      </c>
      <c r="G44" s="99">
        <v>20</v>
      </c>
      <c r="H44" s="35" t="s">
        <v>8</v>
      </c>
      <c r="I44" s="133">
        <v>2</v>
      </c>
      <c r="J44" s="146">
        <v>0.6</v>
      </c>
      <c r="K44" s="12">
        <v>0.18</v>
      </c>
      <c r="L44" s="235"/>
    </row>
    <row r="45" spans="3:12" ht="13.5">
      <c r="C45" s="128" t="s">
        <v>36</v>
      </c>
      <c r="D45" s="129" t="str">
        <f>IF(D38&gt;J21,"OK","OUT")</f>
        <v>OK</v>
      </c>
      <c r="G45" s="99">
        <v>32</v>
      </c>
      <c r="H45" s="35" t="s">
        <v>8</v>
      </c>
      <c r="I45" s="145">
        <v>4.6</v>
      </c>
      <c r="J45" s="146">
        <v>1.4</v>
      </c>
      <c r="K45" s="12">
        <v>0.5</v>
      </c>
      <c r="L45" s="235"/>
    </row>
    <row r="46" spans="3:12" ht="13.5">
      <c r="C46" s="128" t="s">
        <v>37</v>
      </c>
      <c r="D46" s="129" t="str">
        <f>IF(D39&gt;J21,"OK","OUT")</f>
        <v>OK</v>
      </c>
      <c r="G46" s="99">
        <v>36</v>
      </c>
      <c r="H46" s="35" t="s">
        <v>8</v>
      </c>
      <c r="I46" s="132">
        <v>5.7</v>
      </c>
      <c r="J46" s="146">
        <v>1.8</v>
      </c>
      <c r="K46" s="137">
        <v>0.6</v>
      </c>
      <c r="L46" s="235"/>
    </row>
    <row r="47" spans="7:12" ht="13.5">
      <c r="G47" s="99">
        <v>40</v>
      </c>
      <c r="H47" s="35" t="s">
        <v>8</v>
      </c>
      <c r="I47" s="145">
        <v>6.8</v>
      </c>
      <c r="J47" s="146">
        <v>2.1</v>
      </c>
      <c r="K47" s="137">
        <v>0.8</v>
      </c>
      <c r="L47" s="235"/>
    </row>
    <row r="48" spans="7:12" ht="13.5">
      <c r="G48" s="99">
        <v>44</v>
      </c>
      <c r="H48" s="35" t="s">
        <v>8</v>
      </c>
      <c r="I48" s="92"/>
      <c r="J48" s="147">
        <v>2.5</v>
      </c>
      <c r="K48" s="138">
        <v>0.9</v>
      </c>
      <c r="L48" s="235"/>
    </row>
    <row r="49" spans="7:12" ht="13.5">
      <c r="G49" s="44">
        <v>53</v>
      </c>
      <c r="H49" s="154" t="s">
        <v>8</v>
      </c>
      <c r="I49" s="92"/>
      <c r="J49" s="147">
        <v>3.5</v>
      </c>
      <c r="K49" s="138">
        <v>1.2</v>
      </c>
      <c r="L49" s="235"/>
    </row>
    <row r="50" spans="7:12" ht="13.5">
      <c r="G50" s="100">
        <v>60</v>
      </c>
      <c r="H50" s="101" t="s">
        <v>8</v>
      </c>
      <c r="I50" s="9"/>
      <c r="J50" s="148">
        <v>4.4</v>
      </c>
      <c r="K50" s="139">
        <v>1.6</v>
      </c>
      <c r="L50" s="236"/>
    </row>
    <row r="52" spans="7:15" ht="13.5" customHeight="1">
      <c r="G52" s="229" t="s">
        <v>82</v>
      </c>
      <c r="H52" s="237"/>
      <c r="I52" s="237"/>
      <c r="J52" s="237"/>
      <c r="K52" s="230"/>
      <c r="L52" s="234" t="s">
        <v>47</v>
      </c>
      <c r="M52" s="238" t="s">
        <v>95</v>
      </c>
      <c r="N52" s="239"/>
      <c r="O52" s="240"/>
    </row>
    <row r="53" spans="7:15" ht="13.5">
      <c r="G53" s="229"/>
      <c r="H53" s="230"/>
      <c r="I53" s="5" t="s">
        <v>35</v>
      </c>
      <c r="J53" s="17" t="s">
        <v>36</v>
      </c>
      <c r="K53" s="4" t="s">
        <v>37</v>
      </c>
      <c r="L53" s="235"/>
      <c r="M53" s="105" t="s">
        <v>35</v>
      </c>
      <c r="N53" s="106" t="s">
        <v>36</v>
      </c>
      <c r="O53" s="107" t="s">
        <v>37</v>
      </c>
    </row>
    <row r="54" spans="7:15" ht="13.5">
      <c r="G54" s="98">
        <v>12</v>
      </c>
      <c r="H54" s="97" t="s">
        <v>8</v>
      </c>
      <c r="I54" s="144">
        <v>0.6</v>
      </c>
      <c r="J54" s="18">
        <v>0.07</v>
      </c>
      <c r="K54" s="21">
        <v>0.03</v>
      </c>
      <c r="L54" s="235"/>
      <c r="M54" s="104">
        <f>VLOOKUP($J$23,$G$54:$K$61,3)</f>
        <v>3.7</v>
      </c>
      <c r="N54" s="110">
        <f>VLOOKUP($J$23,$G$54:$K$61,4)</f>
        <v>0.5</v>
      </c>
      <c r="O54" s="109">
        <f>VLOOKUP($J$23,$G$54:$K$61,5)</f>
        <v>0.2</v>
      </c>
    </row>
    <row r="55" spans="7:12" ht="13.5">
      <c r="G55" s="99">
        <v>20</v>
      </c>
      <c r="H55" s="35" t="s">
        <v>8</v>
      </c>
      <c r="I55" s="145">
        <v>1.6</v>
      </c>
      <c r="J55" s="146">
        <v>0.2</v>
      </c>
      <c r="K55" s="22">
        <v>0.08</v>
      </c>
      <c r="L55" s="235"/>
    </row>
    <row r="56" spans="7:12" ht="13.5">
      <c r="G56" s="99">
        <v>32</v>
      </c>
      <c r="H56" s="35" t="s">
        <v>8</v>
      </c>
      <c r="I56" s="145">
        <v>3.7</v>
      </c>
      <c r="J56" s="146">
        <v>0.5</v>
      </c>
      <c r="K56" s="22">
        <v>0.2</v>
      </c>
      <c r="L56" s="235"/>
    </row>
    <row r="57" spans="7:12" ht="13.5">
      <c r="G57" s="99">
        <v>36</v>
      </c>
      <c r="H57" s="35" t="s">
        <v>8</v>
      </c>
      <c r="I57" s="145">
        <v>4.5</v>
      </c>
      <c r="J57" s="146">
        <v>0.6</v>
      </c>
      <c r="K57" s="149">
        <v>0.22</v>
      </c>
      <c r="L57" s="235"/>
    </row>
    <row r="58" spans="7:12" ht="13.5">
      <c r="G58" s="99">
        <v>40</v>
      </c>
      <c r="H58" s="35" t="s">
        <v>8</v>
      </c>
      <c r="I58" s="145">
        <v>5.5</v>
      </c>
      <c r="J58" s="146">
        <v>0.7</v>
      </c>
      <c r="K58" s="149">
        <v>0.27</v>
      </c>
      <c r="L58" s="235"/>
    </row>
    <row r="59" spans="7:12" ht="13.5">
      <c r="G59" s="99">
        <v>44</v>
      </c>
      <c r="H59" s="35" t="s">
        <v>8</v>
      </c>
      <c r="I59" s="93"/>
      <c r="J59" s="147">
        <v>0.9</v>
      </c>
      <c r="K59" s="150">
        <v>0.31</v>
      </c>
      <c r="L59" s="235"/>
    </row>
    <row r="60" spans="7:12" ht="13.5">
      <c r="G60" s="153">
        <v>53</v>
      </c>
      <c r="H60" s="35" t="s">
        <v>8</v>
      </c>
      <c r="I60" s="93"/>
      <c r="J60" s="147">
        <v>1.2</v>
      </c>
      <c r="K60" s="150">
        <v>0.44</v>
      </c>
      <c r="L60" s="235"/>
    </row>
    <row r="61" spans="7:12" ht="13.5">
      <c r="G61" s="100">
        <v>60</v>
      </c>
      <c r="H61" s="101" t="s">
        <v>8</v>
      </c>
      <c r="I61" s="23"/>
      <c r="J61" s="148">
        <v>1.5</v>
      </c>
      <c r="K61" s="151">
        <v>0.54</v>
      </c>
      <c r="L61" s="236"/>
    </row>
    <row r="62" ht="13.5">
      <c r="G62" s="194"/>
    </row>
  </sheetData>
  <sheetProtection/>
  <mergeCells count="26">
    <mergeCell ref="L29:L38"/>
    <mergeCell ref="G52:K52"/>
    <mergeCell ref="L52:L61"/>
    <mergeCell ref="M52:O52"/>
    <mergeCell ref="G53:H53"/>
    <mergeCell ref="G40:K40"/>
    <mergeCell ref="L40:L50"/>
    <mergeCell ref="M40:O40"/>
    <mergeCell ref="G41:H41"/>
    <mergeCell ref="E9:F9"/>
    <mergeCell ref="H9:I10"/>
    <mergeCell ref="M29:O29"/>
    <mergeCell ref="G30:H30"/>
    <mergeCell ref="C36:E36"/>
    <mergeCell ref="E25:F25"/>
    <mergeCell ref="C27:K27"/>
    <mergeCell ref="C29:E29"/>
    <mergeCell ref="G29:K29"/>
    <mergeCell ref="L14:M14"/>
    <mergeCell ref="Q9:Q10"/>
    <mergeCell ref="L11:M11"/>
    <mergeCell ref="H20:H23"/>
    <mergeCell ref="I20:I23"/>
    <mergeCell ref="L21:M21"/>
    <mergeCell ref="L22:M22"/>
    <mergeCell ref="L23:M23"/>
  </mergeCells>
  <printOptions/>
  <pageMargins left="0.75" right="0.75" top="1" bottom="1" header="0.512" footer="0.51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7"/>
  <sheetViews>
    <sheetView showZeros="0" zoomScalePageLayoutView="0" workbookViewId="0" topLeftCell="A1">
      <selection activeCell="Q21" sqref="Q21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7" max="17" width="13.753906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15</v>
      </c>
      <c r="E5" s="48" t="s">
        <v>3</v>
      </c>
      <c r="F5" s="48" t="s">
        <v>66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IF(D5=1,1,IF(D5&lt;5,2,IF(D5&lt;11,3,IF(D5&lt;16,4,IF(D5&lt;21,5,0)))))</f>
        <v>4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87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9</v>
      </c>
      <c r="C10" s="2" t="s">
        <v>12</v>
      </c>
      <c r="D10" s="3">
        <v>13</v>
      </c>
      <c r="E10" s="5">
        <v>12</v>
      </c>
      <c r="F10" s="4" t="s">
        <v>8</v>
      </c>
      <c r="G10" s="48"/>
      <c r="H10" s="250"/>
      <c r="I10" s="251"/>
      <c r="J10" s="56" t="s">
        <v>139</v>
      </c>
      <c r="K10" s="57" t="s">
        <v>140</v>
      </c>
      <c r="L10" s="58" t="s">
        <v>141</v>
      </c>
      <c r="M10" s="58" t="s">
        <v>142</v>
      </c>
      <c r="N10" s="57" t="s">
        <v>142</v>
      </c>
      <c r="O10" s="57" t="s">
        <v>142</v>
      </c>
      <c r="P10" s="59" t="s">
        <v>142</v>
      </c>
      <c r="Q10" s="247"/>
    </row>
    <row r="11" spans="2:17" ht="15" customHeight="1" thickBot="1">
      <c r="B11" s="3" t="s">
        <v>10</v>
      </c>
      <c r="C11" s="2" t="s">
        <v>28</v>
      </c>
      <c r="D11" s="3">
        <v>13</v>
      </c>
      <c r="E11" s="5">
        <v>8</v>
      </c>
      <c r="F11" s="4" t="s">
        <v>8</v>
      </c>
      <c r="G11" s="48"/>
      <c r="H11" s="86" t="s">
        <v>23</v>
      </c>
      <c r="I11" s="52" t="s">
        <v>143</v>
      </c>
      <c r="J11" s="1">
        <v>12</v>
      </c>
      <c r="K11" s="1">
        <v>13</v>
      </c>
      <c r="L11" s="244" t="s">
        <v>26</v>
      </c>
      <c r="M11" s="245"/>
      <c r="N11" s="1">
        <v>0.8</v>
      </c>
      <c r="O11" s="70"/>
      <c r="P11" s="60">
        <f>+N11+O11</f>
        <v>0.8</v>
      </c>
      <c r="Q11" s="60" t="s">
        <v>50</v>
      </c>
    </row>
    <row r="12" spans="2:21" ht="15" customHeight="1" thickBot="1">
      <c r="B12" s="3" t="s">
        <v>11</v>
      </c>
      <c r="C12" s="2" t="s">
        <v>29</v>
      </c>
      <c r="D12" s="3">
        <v>13</v>
      </c>
      <c r="E12" s="5">
        <v>12</v>
      </c>
      <c r="F12" s="4" t="s">
        <v>8</v>
      </c>
      <c r="G12" s="48"/>
      <c r="H12" s="87" t="s">
        <v>24</v>
      </c>
      <c r="I12" s="88" t="s">
        <v>144</v>
      </c>
      <c r="J12" s="1">
        <v>12</v>
      </c>
      <c r="K12" s="1">
        <v>13</v>
      </c>
      <c r="L12" s="68">
        <f>IF(+U12&gt;50,ROUND(+U12,-1),+U12)</f>
        <v>230</v>
      </c>
      <c r="M12" s="1">
        <v>2.5</v>
      </c>
      <c r="N12" s="68">
        <f>ROUND(+L12/1000*M12,2)</f>
        <v>0.58</v>
      </c>
      <c r="O12" s="1">
        <v>1</v>
      </c>
      <c r="P12" s="61">
        <f>+N12+O12</f>
        <v>1.58</v>
      </c>
      <c r="Q12" s="61"/>
      <c r="R12" t="s">
        <v>39</v>
      </c>
      <c r="S12">
        <f>IF(J12&gt;0,ROUND(+J12/1000/60*4/(PI()*(K12/1000)^2),2),0)</f>
        <v>1.51</v>
      </c>
      <c r="T12" t="s">
        <v>21</v>
      </c>
      <c r="U12">
        <f>IF(J12&gt;0,ROUND(((0.0126+(0.01739-0.1087*+K12/1000)/S12^0.5)*((+S12^2/19.6)/(+K12/1000)))*1000,0),0)</f>
        <v>229</v>
      </c>
    </row>
    <row r="13" spans="2:21" ht="15" customHeight="1" thickBot="1">
      <c r="B13" s="3" t="s">
        <v>30</v>
      </c>
      <c r="C13" s="2" t="s">
        <v>122</v>
      </c>
      <c r="D13" s="3">
        <v>13</v>
      </c>
      <c r="E13" s="5">
        <v>12</v>
      </c>
      <c r="F13" s="4" t="s">
        <v>8</v>
      </c>
      <c r="G13" s="48"/>
      <c r="H13" s="87" t="s">
        <v>24</v>
      </c>
      <c r="I13" s="88" t="s">
        <v>145</v>
      </c>
      <c r="J13" s="1">
        <v>12</v>
      </c>
      <c r="K13" s="1">
        <v>20</v>
      </c>
      <c r="L13" s="68">
        <f>IF(+U13&gt;50,ROUND(+U13,-1),+U13)</f>
        <v>33</v>
      </c>
      <c r="M13" s="1">
        <v>3</v>
      </c>
      <c r="N13" s="68">
        <f>ROUND(+L13/1000*M13,2)</f>
        <v>0.1</v>
      </c>
      <c r="O13" s="1"/>
      <c r="P13" s="170">
        <f>+N13+O13</f>
        <v>0.1</v>
      </c>
      <c r="Q13" s="61"/>
      <c r="R13" t="s">
        <v>39</v>
      </c>
      <c r="S13">
        <f>IF(J13&gt;0,ROUND(+J13/1000/60*4/(PI()*(K13/1000)^2),2),0)</f>
        <v>0.64</v>
      </c>
      <c r="T13" t="s">
        <v>21</v>
      </c>
      <c r="U13">
        <f>IF(J13&gt;0,ROUND(((0.0126+(0.01739-0.1087*+K13/1000)/S13^0.5)*((+S13^2/19.6)/(+K13/1000)))*1000,0),0)</f>
        <v>33</v>
      </c>
    </row>
    <row r="14" spans="2:17" ht="15" customHeight="1" thickBot="1">
      <c r="B14" s="3"/>
      <c r="C14" s="2"/>
      <c r="D14" s="2"/>
      <c r="E14" s="5"/>
      <c r="F14" s="4"/>
      <c r="G14" s="48"/>
      <c r="H14" s="86"/>
      <c r="I14" s="177" t="s">
        <v>121</v>
      </c>
      <c r="J14" s="172"/>
      <c r="K14" s="173"/>
      <c r="L14" s="176"/>
      <c r="M14" s="176"/>
      <c r="N14" s="174"/>
      <c r="O14" s="187"/>
      <c r="P14" s="171">
        <f>SUM(P11:P13)</f>
        <v>2.48</v>
      </c>
      <c r="Q14" s="180" t="s">
        <v>146</v>
      </c>
    </row>
    <row r="15" spans="2:17" ht="15" customHeight="1" thickBot="1">
      <c r="B15" s="49"/>
      <c r="C15" s="50"/>
      <c r="D15" s="3" t="s">
        <v>22</v>
      </c>
      <c r="E15" s="5">
        <f>SUM(E10:E14)</f>
        <v>44</v>
      </c>
      <c r="F15" s="4" t="s">
        <v>8</v>
      </c>
      <c r="G15" s="48"/>
      <c r="H15" s="86" t="s">
        <v>23</v>
      </c>
      <c r="I15" s="52" t="s">
        <v>147</v>
      </c>
      <c r="J15" s="1">
        <v>12</v>
      </c>
      <c r="K15" s="1">
        <v>13</v>
      </c>
      <c r="L15" s="244" t="s">
        <v>26</v>
      </c>
      <c r="M15" s="245"/>
      <c r="N15" s="1">
        <v>0.8</v>
      </c>
      <c r="O15" s="188"/>
      <c r="P15" s="60">
        <f>+N15+O15</f>
        <v>0.8</v>
      </c>
      <c r="Q15" s="60" t="s">
        <v>50</v>
      </c>
    </row>
    <row r="16" spans="2:21" ht="15" customHeight="1" thickBot="1">
      <c r="B16" s="48"/>
      <c r="C16" s="48"/>
      <c r="D16" s="48"/>
      <c r="E16" s="48"/>
      <c r="F16" s="48"/>
      <c r="G16" s="48"/>
      <c r="H16" s="87" t="s">
        <v>24</v>
      </c>
      <c r="I16" s="88" t="s">
        <v>148</v>
      </c>
      <c r="J16" s="1">
        <v>12</v>
      </c>
      <c r="K16" s="1">
        <v>13</v>
      </c>
      <c r="L16" s="68">
        <f>IF(+U16&gt;50,ROUND(+U16,-1),+U16)</f>
        <v>230</v>
      </c>
      <c r="M16" s="1">
        <v>5</v>
      </c>
      <c r="N16" s="68">
        <f>ROUND(+L16/1000*M16,2)</f>
        <v>1.15</v>
      </c>
      <c r="O16" s="1">
        <v>3.5</v>
      </c>
      <c r="P16" s="61">
        <f>+N16+O16</f>
        <v>4.65</v>
      </c>
      <c r="Q16" s="61"/>
      <c r="R16" t="s">
        <v>39</v>
      </c>
      <c r="S16">
        <f>IF(J16&gt;0,ROUND(+J16/1000/60*4/(PI()*(K16/1000)^2),2),0)</f>
        <v>1.51</v>
      </c>
      <c r="T16" t="s">
        <v>21</v>
      </c>
      <c r="U16">
        <f>IF(J16&gt;0,ROUND(((0.0126+(0.01739-0.1087*+K16/1000)/S16^0.5)*((+S16^2/19.6)/(+K16/1000)))*1000,0),0)</f>
        <v>229</v>
      </c>
    </row>
    <row r="17" spans="2:21" ht="15" customHeight="1" thickBot="1">
      <c r="B17" s="52"/>
      <c r="C17" s="51"/>
      <c r="D17" s="52"/>
      <c r="E17" s="51"/>
      <c r="F17" s="51"/>
      <c r="G17" s="48"/>
      <c r="H17" s="87" t="s">
        <v>24</v>
      </c>
      <c r="I17" s="88" t="s">
        <v>149</v>
      </c>
      <c r="J17" s="1">
        <v>24</v>
      </c>
      <c r="K17" s="1">
        <v>20</v>
      </c>
      <c r="L17" s="68">
        <f>IF(+U17&gt;50,ROUND(+U17,-1),+U17)</f>
        <v>110</v>
      </c>
      <c r="M17" s="1">
        <v>6</v>
      </c>
      <c r="N17" s="68">
        <f>ROUND(+L17/1000*M17,2)</f>
        <v>0.66</v>
      </c>
      <c r="O17" s="1"/>
      <c r="P17" s="170">
        <f>+N17+O17</f>
        <v>0.66</v>
      </c>
      <c r="Q17" s="61"/>
      <c r="R17" t="s">
        <v>39</v>
      </c>
      <c r="S17">
        <f>IF(J17&gt;0,ROUND(+J17/1000/60*4/(PI()*(K17/1000)^2),2),0)</f>
        <v>1.27</v>
      </c>
      <c r="T17" t="s">
        <v>21</v>
      </c>
      <c r="U17">
        <f>IF(J17&gt;0,ROUND(((0.0126+(0.01739-0.1087*+K17/1000)/S17^0.5)*((+S17^2/19.6)/(+K17/1000)))*1000,0),0)</f>
        <v>107</v>
      </c>
    </row>
    <row r="18" spans="2:17" ht="15" customHeight="1" thickBot="1">
      <c r="B18" s="52"/>
      <c r="C18" s="51"/>
      <c r="D18" s="52"/>
      <c r="E18" s="51"/>
      <c r="F18" s="51"/>
      <c r="G18" s="48"/>
      <c r="H18" s="86"/>
      <c r="I18" s="177" t="s">
        <v>121</v>
      </c>
      <c r="J18" s="172"/>
      <c r="K18" s="173"/>
      <c r="L18" s="176"/>
      <c r="M18" s="176"/>
      <c r="N18" s="174"/>
      <c r="O18" s="179"/>
      <c r="P18" s="171">
        <f>SUM(P15:P17)</f>
        <v>6.11</v>
      </c>
      <c r="Q18" s="180" t="s">
        <v>137</v>
      </c>
    </row>
    <row r="19" spans="2:17" ht="15" customHeight="1" thickBot="1">
      <c r="B19" s="52"/>
      <c r="C19" s="51"/>
      <c r="D19" s="52"/>
      <c r="E19" s="51"/>
      <c r="F19" s="51"/>
      <c r="G19" s="48"/>
      <c r="H19" s="86" t="s">
        <v>23</v>
      </c>
      <c r="I19" s="52" t="s">
        <v>150</v>
      </c>
      <c r="J19" s="1">
        <v>12</v>
      </c>
      <c r="K19" s="1">
        <v>13</v>
      </c>
      <c r="L19" s="259" t="s">
        <v>26</v>
      </c>
      <c r="M19" s="245"/>
      <c r="N19" s="1">
        <v>0.8</v>
      </c>
      <c r="O19" s="178"/>
      <c r="P19" s="60">
        <f>+N19+O19</f>
        <v>0.8</v>
      </c>
      <c r="Q19" s="60" t="s">
        <v>50</v>
      </c>
    </row>
    <row r="20" spans="2:21" ht="15" customHeight="1" thickBot="1">
      <c r="B20" s="52"/>
      <c r="C20" s="51"/>
      <c r="D20" s="52"/>
      <c r="E20" s="51"/>
      <c r="F20" s="51"/>
      <c r="G20" s="48"/>
      <c r="H20" s="87" t="s">
        <v>24</v>
      </c>
      <c r="I20" s="88" t="s">
        <v>151</v>
      </c>
      <c r="J20" s="1">
        <v>12</v>
      </c>
      <c r="K20" s="1">
        <v>13</v>
      </c>
      <c r="L20" s="68">
        <f>IF(+U20&gt;50,ROUND(+U20,-1),+U20)</f>
        <v>230</v>
      </c>
      <c r="M20" s="1">
        <v>6</v>
      </c>
      <c r="N20" s="68">
        <f>ROUND(+L20/1000*M20,2)</f>
        <v>1.38</v>
      </c>
      <c r="O20" s="1">
        <v>3.5</v>
      </c>
      <c r="P20" s="170">
        <f>+N20+O20</f>
        <v>4.88</v>
      </c>
      <c r="Q20" s="61"/>
      <c r="R20" t="s">
        <v>39</v>
      </c>
      <c r="S20">
        <f>IF(J20&gt;0,ROUND(+J20/1000/60*4/(PI()*(K20/1000)^2),2),0)</f>
        <v>1.51</v>
      </c>
      <c r="T20" t="s">
        <v>21</v>
      </c>
      <c r="U20">
        <f>IF(J20&gt;0,ROUND(((0.0126+(0.01739-0.1087*+K20/1000)/S20^0.5)*((+S20^2/19.6)/(+K20/1000)))*1000,0),0)</f>
        <v>229</v>
      </c>
    </row>
    <row r="21" spans="2:17" ht="15" customHeight="1" thickBot="1">
      <c r="B21" s="48"/>
      <c r="C21" s="48"/>
      <c r="D21" s="48"/>
      <c r="E21" s="48"/>
      <c r="F21" s="48"/>
      <c r="G21" s="48"/>
      <c r="H21" s="86"/>
      <c r="I21" s="177" t="s">
        <v>121</v>
      </c>
      <c r="J21" s="186"/>
      <c r="K21" s="173"/>
      <c r="L21" s="176"/>
      <c r="M21" s="176"/>
      <c r="N21" s="174"/>
      <c r="O21" s="175"/>
      <c r="P21" s="171">
        <f>SUM(P19:P20)</f>
        <v>5.68</v>
      </c>
      <c r="Q21" s="180" t="s">
        <v>152</v>
      </c>
    </row>
    <row r="22" spans="1:21" ht="15" customHeight="1" thickBot="1">
      <c r="A22" s="11"/>
      <c r="B22" s="51"/>
      <c r="C22" s="48"/>
      <c r="D22" s="51"/>
      <c r="E22" s="51"/>
      <c r="F22" s="51"/>
      <c r="G22" s="48"/>
      <c r="H22" s="87" t="s">
        <v>24</v>
      </c>
      <c r="I22" s="90" t="s">
        <v>153</v>
      </c>
      <c r="J22" s="185">
        <v>36</v>
      </c>
      <c r="K22" s="1">
        <v>20</v>
      </c>
      <c r="L22" s="68">
        <f>IF(+U22&gt;50,ROUND(+U22,-1),+U22)</f>
        <v>220</v>
      </c>
      <c r="M22" s="1">
        <v>1.5</v>
      </c>
      <c r="N22" s="69">
        <f>ROUND(+L22/1000*M22,2)</f>
        <v>0.33</v>
      </c>
      <c r="O22" s="1">
        <v>0</v>
      </c>
      <c r="P22" s="62">
        <f aca="true" t="shared" si="0" ref="P22:P27">+N22+O22</f>
        <v>0.33</v>
      </c>
      <c r="Q22" s="62"/>
      <c r="R22" t="s">
        <v>39</v>
      </c>
      <c r="S22">
        <f>IF(J22&gt;0,ROUND(+J22/1000/60*4/(PI()*(K22/1000)^2),2),0)</f>
        <v>1.91</v>
      </c>
      <c r="T22" t="s">
        <v>21</v>
      </c>
      <c r="U22">
        <f>IF(J22&gt;0,ROUND(((0.0126+(0.01739-0.1087*+K22/1000)/S22^0.5)*((+S22^2/19.6)/(+K22/1000)))*1000,0),0)</f>
        <v>220</v>
      </c>
    </row>
    <row r="23" spans="1:21" ht="15" customHeight="1" thickBot="1">
      <c r="A23" s="11"/>
      <c r="B23" s="51"/>
      <c r="C23" s="48"/>
      <c r="D23" s="51"/>
      <c r="E23" s="51"/>
      <c r="F23" s="51"/>
      <c r="G23" s="48"/>
      <c r="H23" s="87" t="s">
        <v>24</v>
      </c>
      <c r="I23" s="90" t="s">
        <v>154</v>
      </c>
      <c r="J23" s="62">
        <v>44</v>
      </c>
      <c r="K23" s="1">
        <v>20</v>
      </c>
      <c r="L23" s="68">
        <f>IF(+U23&gt;50,ROUND(+U23,-1),+U23)</f>
        <v>310</v>
      </c>
      <c r="M23" s="1">
        <v>8</v>
      </c>
      <c r="N23" s="69">
        <f>ROUND(+L23/1000*M23,2)</f>
        <v>2.48</v>
      </c>
      <c r="O23" s="1">
        <v>0</v>
      </c>
      <c r="P23" s="62">
        <f>+N23+O23</f>
        <v>2.48</v>
      </c>
      <c r="Q23" s="62"/>
      <c r="R23" t="s">
        <v>39</v>
      </c>
      <c r="S23">
        <f>IF(J23&gt;0,ROUND(+J23/1000/60*4/(PI()*(K23/1000)^2),2),0)</f>
        <v>2.33</v>
      </c>
      <c r="T23" t="s">
        <v>21</v>
      </c>
      <c r="U23">
        <f>IF(J23&gt;0,ROUND(((0.0126+(0.01739-0.1087*+K23/1000)/S23^0.5)*((+S23^2/19.6)/(+K23/1000)))*1000,0),0)</f>
        <v>313</v>
      </c>
    </row>
    <row r="24" spans="1:21" ht="15" customHeight="1" thickBot="1">
      <c r="A24" s="11"/>
      <c r="B24" s="52"/>
      <c r="C24" s="51"/>
      <c r="D24" s="51"/>
      <c r="E24" s="51"/>
      <c r="F24" s="51"/>
      <c r="G24" s="48"/>
      <c r="H24" s="252" t="s">
        <v>155</v>
      </c>
      <c r="I24" s="254" t="s">
        <v>156</v>
      </c>
      <c r="J24" s="62">
        <f>+J23</f>
        <v>44</v>
      </c>
      <c r="K24" s="1">
        <v>20</v>
      </c>
      <c r="L24" s="68">
        <f>IF(+U24&gt;50,ROUND(+U24,-1),+U24)</f>
        <v>310</v>
      </c>
      <c r="M24" s="1">
        <v>5</v>
      </c>
      <c r="N24" s="69">
        <f>ROUND(+L24/1000*M24,2)</f>
        <v>1.55</v>
      </c>
      <c r="O24" s="1">
        <v>0.9</v>
      </c>
      <c r="P24" s="62">
        <f t="shared" si="0"/>
        <v>2.45</v>
      </c>
      <c r="Q24" s="62"/>
      <c r="R24" t="s">
        <v>39</v>
      </c>
      <c r="S24">
        <f>IF(J24&gt;0,ROUND(+J24/1000/60*4/(PI()*(K24/1000)^2),2),0)</f>
        <v>2.33</v>
      </c>
      <c r="T24" t="s">
        <v>21</v>
      </c>
      <c r="U24">
        <f>IF(J24&gt;0,ROUND(((0.0126+(0.01739-0.1087*+K24/1000)/S24^0.5)*((+S24^2/19.6)/(+K24/1000)))*1000,0),0)</f>
        <v>313</v>
      </c>
    </row>
    <row r="25" spans="1:17" ht="15" customHeight="1" thickBot="1">
      <c r="A25" s="11"/>
      <c r="B25" s="51"/>
      <c r="C25" s="51"/>
      <c r="D25" s="51"/>
      <c r="E25" s="51"/>
      <c r="F25" s="51"/>
      <c r="G25" s="48"/>
      <c r="H25" s="253"/>
      <c r="I25" s="255"/>
      <c r="J25" s="62">
        <f>+J24</f>
        <v>44</v>
      </c>
      <c r="K25" s="1">
        <v>20</v>
      </c>
      <c r="L25" s="231" t="s">
        <v>20</v>
      </c>
      <c r="M25" s="232"/>
      <c r="N25" s="108">
        <f>IF(K25=13,M35,IF(K25=20,N35,(IF(K25=25,O35,""))))</f>
        <v>2.2</v>
      </c>
      <c r="O25" s="71"/>
      <c r="P25" s="62">
        <f t="shared" si="0"/>
        <v>2.2</v>
      </c>
      <c r="Q25" s="62" t="s">
        <v>51</v>
      </c>
    </row>
    <row r="26" spans="1:17" ht="15" customHeight="1" thickBot="1">
      <c r="A26" s="11"/>
      <c r="B26" s="51"/>
      <c r="C26" s="51"/>
      <c r="D26" s="51"/>
      <c r="E26" s="51"/>
      <c r="F26" s="51"/>
      <c r="G26" s="48"/>
      <c r="H26" s="253"/>
      <c r="I26" s="255"/>
      <c r="J26" s="62">
        <f>+J24</f>
        <v>44</v>
      </c>
      <c r="K26" s="1">
        <v>20</v>
      </c>
      <c r="L26" s="231" t="s">
        <v>19</v>
      </c>
      <c r="M26" s="232"/>
      <c r="N26" s="108">
        <f>IF(K26=13,M46,IF(K26=20,N46,(IF(K26=25,O46,""))))</f>
        <v>2.5</v>
      </c>
      <c r="O26" s="71"/>
      <c r="P26" s="62">
        <f t="shared" si="0"/>
        <v>2.5</v>
      </c>
      <c r="Q26" s="62" t="s">
        <v>50</v>
      </c>
    </row>
    <row r="27" spans="2:17" ht="15" customHeight="1" thickBot="1">
      <c r="B27" s="48"/>
      <c r="C27" s="48"/>
      <c r="D27" s="48"/>
      <c r="E27" s="48"/>
      <c r="F27" s="48"/>
      <c r="G27" s="48"/>
      <c r="H27" s="250"/>
      <c r="I27" s="251"/>
      <c r="J27" s="73">
        <f>+J24</f>
        <v>44</v>
      </c>
      <c r="K27" s="1">
        <v>20</v>
      </c>
      <c r="L27" s="242" t="s">
        <v>40</v>
      </c>
      <c r="M27" s="243"/>
      <c r="N27" s="111">
        <f>IF(K27=13,M58,IF(K27=20,N58,(IF(K27=25,O58,""))))</f>
        <v>0.9</v>
      </c>
      <c r="O27" s="72"/>
      <c r="P27" s="63">
        <f t="shared" si="0"/>
        <v>0.9</v>
      </c>
      <c r="Q27" s="63" t="s">
        <v>49</v>
      </c>
    </row>
    <row r="28" spans="2:17" ht="1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64" t="s">
        <v>22</v>
      </c>
      <c r="P28" s="10">
        <f>P18+SUM(P22:P27)</f>
        <v>16.970000000000002</v>
      </c>
      <c r="Q28" s="126" t="str">
        <f>+"流速"&amp;+S24&amp;+"m/S"</f>
        <v>流速2.33m/S</v>
      </c>
    </row>
    <row r="29" spans="2:17" ht="15" customHeight="1">
      <c r="B29" s="48"/>
      <c r="C29" s="124" t="s">
        <v>106</v>
      </c>
      <c r="D29" s="48"/>
      <c r="E29" s="256" t="str">
        <f>IF(K25=13,D48,IF(K25=20,D49,IF(K25=25,D50,"")))</f>
        <v>OK</v>
      </c>
      <c r="F29" s="256"/>
      <c r="G29" s="48"/>
      <c r="H29" s="48"/>
      <c r="I29" s="48"/>
      <c r="J29" s="48"/>
      <c r="K29" s="48"/>
      <c r="L29" s="65" t="s">
        <v>157</v>
      </c>
      <c r="M29" s="66" t="str">
        <f>IF((20.4-P28)&gt;0,"＞","＜")</f>
        <v>＞</v>
      </c>
      <c r="N29" s="48" t="str">
        <f>+P28/10&amp;+"ｋｇｆ/cm2"</f>
        <v>1.697ｋｇｆ/cm2</v>
      </c>
      <c r="O29" s="48"/>
      <c r="P29" s="67" t="str">
        <f>IF((20.4-P28)&gt;0,"OK","OUT")</f>
        <v>OK</v>
      </c>
      <c r="Q29" s="125" t="str">
        <f>IF(S24&lt;2,"OK","OUT")</f>
        <v>OUT</v>
      </c>
    </row>
    <row r="30" ht="15" customHeight="1"/>
    <row r="31" spans="3:11" ht="15" customHeight="1">
      <c r="C31" s="233" t="s">
        <v>80</v>
      </c>
      <c r="D31" s="233"/>
      <c r="E31" s="233"/>
      <c r="F31" s="233"/>
      <c r="G31" s="233"/>
      <c r="H31" s="233"/>
      <c r="I31" s="233"/>
      <c r="J31" s="233"/>
      <c r="K31" s="233"/>
    </row>
    <row r="33" spans="3:15" ht="13.5" customHeight="1">
      <c r="C33" s="241" t="s">
        <v>75</v>
      </c>
      <c r="D33" s="241"/>
      <c r="E33" s="241"/>
      <c r="G33" s="229" t="s">
        <v>34</v>
      </c>
      <c r="H33" s="237"/>
      <c r="I33" s="237"/>
      <c r="J33" s="237"/>
      <c r="K33" s="230"/>
      <c r="L33" s="234" t="s">
        <v>46</v>
      </c>
      <c r="M33" s="238" t="s">
        <v>94</v>
      </c>
      <c r="N33" s="239"/>
      <c r="O33" s="240"/>
    </row>
    <row r="34" spans="3:15" ht="13.5">
      <c r="C34" s="3" t="s">
        <v>74</v>
      </c>
      <c r="D34" s="2">
        <v>2</v>
      </c>
      <c r="E34" s="2" t="s">
        <v>3</v>
      </c>
      <c r="G34" s="229"/>
      <c r="H34" s="230"/>
      <c r="I34" s="94" t="s">
        <v>35</v>
      </c>
      <c r="J34" s="96" t="s">
        <v>36</v>
      </c>
      <c r="K34" s="95" t="s">
        <v>37</v>
      </c>
      <c r="L34" s="235"/>
      <c r="M34" s="105" t="s">
        <v>35</v>
      </c>
      <c r="N34" s="106" t="s">
        <v>36</v>
      </c>
      <c r="O34" s="107" t="s">
        <v>37</v>
      </c>
    </row>
    <row r="35" spans="3:15" ht="13.5">
      <c r="C35" s="3" t="s">
        <v>76</v>
      </c>
      <c r="D35" s="2">
        <v>3</v>
      </c>
      <c r="E35" s="2" t="s">
        <v>3</v>
      </c>
      <c r="G35" s="98">
        <v>12</v>
      </c>
      <c r="H35" s="97" t="s">
        <v>8</v>
      </c>
      <c r="I35" s="130">
        <v>0.8</v>
      </c>
      <c r="J35" s="7">
        <v>0.18</v>
      </c>
      <c r="K35" s="13">
        <v>0.14</v>
      </c>
      <c r="L35" s="235"/>
      <c r="M35" s="104">
        <f>VLOOKUP($J$25,$G$35:$K$42,3)</f>
        <v>7</v>
      </c>
      <c r="N35" s="110">
        <f>VLOOKUP($J$25,$G$35:$K$42,4)</f>
        <v>2.2</v>
      </c>
      <c r="O35" s="109">
        <f>VLOOKUP($J$25,$G$35:$K$42,5)</f>
        <v>1.6</v>
      </c>
    </row>
    <row r="36" spans="3:12" ht="13.5">
      <c r="C36" s="3" t="s">
        <v>77</v>
      </c>
      <c r="D36" s="2">
        <v>4</v>
      </c>
      <c r="E36" s="2" t="s">
        <v>3</v>
      </c>
      <c r="G36" s="99">
        <v>20</v>
      </c>
      <c r="H36" s="35" t="s">
        <v>8</v>
      </c>
      <c r="I36" s="131">
        <v>1.7</v>
      </c>
      <c r="J36" s="134">
        <v>0.6</v>
      </c>
      <c r="K36" s="12">
        <v>0.3</v>
      </c>
      <c r="L36" s="235"/>
    </row>
    <row r="37" spans="3:12" ht="13.5">
      <c r="C37" s="3" t="s">
        <v>78</v>
      </c>
      <c r="D37" s="2">
        <v>5</v>
      </c>
      <c r="E37" s="2" t="s">
        <v>3</v>
      </c>
      <c r="G37" s="99">
        <v>32</v>
      </c>
      <c r="H37" s="35" t="s">
        <v>8</v>
      </c>
      <c r="I37" s="131">
        <v>3.9</v>
      </c>
      <c r="J37" s="134">
        <v>1.2</v>
      </c>
      <c r="K37" s="12">
        <v>0.8</v>
      </c>
      <c r="L37" s="235"/>
    </row>
    <row r="38" spans="7:12" ht="13.5">
      <c r="G38" s="99">
        <v>36</v>
      </c>
      <c r="H38" s="35" t="s">
        <v>8</v>
      </c>
      <c r="I38" s="132">
        <v>4.8</v>
      </c>
      <c r="J38" s="134">
        <v>1.5</v>
      </c>
      <c r="K38" s="137">
        <v>1.1</v>
      </c>
      <c r="L38" s="235"/>
    </row>
    <row r="39" spans="5:12" ht="13.5">
      <c r="E39" s="25" t="s">
        <v>61</v>
      </c>
      <c r="G39" s="99">
        <v>40</v>
      </c>
      <c r="H39" s="35" t="s">
        <v>8</v>
      </c>
      <c r="I39" s="132">
        <v>5.9</v>
      </c>
      <c r="J39" s="134">
        <v>1.9</v>
      </c>
      <c r="K39" s="137">
        <v>1.3</v>
      </c>
      <c r="L39" s="235"/>
    </row>
    <row r="40" spans="3:12" ht="13.5">
      <c r="C40" s="229" t="s">
        <v>53</v>
      </c>
      <c r="D40" s="237"/>
      <c r="E40" s="230"/>
      <c r="G40" s="99">
        <v>44</v>
      </c>
      <c r="H40" s="35" t="s">
        <v>8</v>
      </c>
      <c r="I40" s="133">
        <v>7</v>
      </c>
      <c r="J40" s="135">
        <v>2.2</v>
      </c>
      <c r="K40" s="138">
        <v>1.6</v>
      </c>
      <c r="L40" s="235"/>
    </row>
    <row r="41" spans="3:12" ht="13.5">
      <c r="C41" s="2" t="s">
        <v>54</v>
      </c>
      <c r="D41" s="5">
        <v>41</v>
      </c>
      <c r="E41" s="4" t="s">
        <v>59</v>
      </c>
      <c r="G41" s="153">
        <v>53</v>
      </c>
      <c r="H41" s="35" t="s">
        <v>8</v>
      </c>
      <c r="I41" s="142"/>
      <c r="J41" s="135">
        <v>3.1</v>
      </c>
      <c r="K41" s="138">
        <v>2.2</v>
      </c>
      <c r="L41" s="235"/>
    </row>
    <row r="42" spans="3:12" ht="13.5">
      <c r="C42" s="2" t="s">
        <v>55</v>
      </c>
      <c r="D42" s="5">
        <v>66</v>
      </c>
      <c r="E42" s="4" t="s">
        <v>59</v>
      </c>
      <c r="G42" s="100">
        <v>60</v>
      </c>
      <c r="H42" s="101" t="s">
        <v>8</v>
      </c>
      <c r="I42" s="9"/>
      <c r="J42" s="136">
        <v>3.8</v>
      </c>
      <c r="K42" s="139">
        <v>2.7</v>
      </c>
      <c r="L42" s="236"/>
    </row>
    <row r="43" spans="3:5" ht="13.5">
      <c r="C43" s="2" t="s">
        <v>56</v>
      </c>
      <c r="D43" s="5">
        <v>105</v>
      </c>
      <c r="E43" s="4" t="s">
        <v>59</v>
      </c>
    </row>
    <row r="44" spans="3:15" ht="13.5" customHeight="1">
      <c r="C44" s="2" t="s">
        <v>57</v>
      </c>
      <c r="D44" s="31">
        <v>266</v>
      </c>
      <c r="E44" s="4" t="s">
        <v>59</v>
      </c>
      <c r="G44" s="229" t="s">
        <v>83</v>
      </c>
      <c r="H44" s="237"/>
      <c r="I44" s="237"/>
      <c r="J44" s="237"/>
      <c r="K44" s="230"/>
      <c r="L44" s="234" t="s">
        <v>48</v>
      </c>
      <c r="M44" s="238" t="s">
        <v>91</v>
      </c>
      <c r="N44" s="239"/>
      <c r="O44" s="240"/>
    </row>
    <row r="45" spans="3:15" ht="13.5">
      <c r="C45" s="2" t="s">
        <v>58</v>
      </c>
      <c r="D45" s="5">
        <v>666</v>
      </c>
      <c r="E45" s="4" t="s">
        <v>59</v>
      </c>
      <c r="G45" s="229"/>
      <c r="H45" s="230"/>
      <c r="I45" s="5" t="s">
        <v>35</v>
      </c>
      <c r="J45" s="17" t="s">
        <v>36</v>
      </c>
      <c r="K45" s="4" t="s">
        <v>37</v>
      </c>
      <c r="L45" s="235"/>
      <c r="M45" s="105" t="s">
        <v>35</v>
      </c>
      <c r="N45" s="106" t="s">
        <v>36</v>
      </c>
      <c r="O45" s="107" t="s">
        <v>37</v>
      </c>
    </row>
    <row r="46" spans="3:15" ht="13.5">
      <c r="C46" s="2" t="s">
        <v>60</v>
      </c>
      <c r="D46" s="5">
        <v>1050</v>
      </c>
      <c r="E46" s="4" t="s">
        <v>59</v>
      </c>
      <c r="G46" s="98">
        <v>8</v>
      </c>
      <c r="H46" s="97" t="s">
        <v>8</v>
      </c>
      <c r="I46" s="193">
        <v>0.4</v>
      </c>
      <c r="J46" s="189">
        <v>0.08</v>
      </c>
      <c r="K46" s="190"/>
      <c r="L46" s="235"/>
      <c r="M46" s="104">
        <f>VLOOKUP($J$26,$G$46:$K$54,3)</f>
        <v>0</v>
      </c>
      <c r="N46" s="110">
        <f>VLOOKUP($J$26,$G$46:$K$54,4)</f>
        <v>2.5</v>
      </c>
      <c r="O46" s="109">
        <f>VLOOKUP($J$26,$G$46:$K$54,5)</f>
        <v>0.9</v>
      </c>
    </row>
    <row r="47" spans="7:12" ht="13.5">
      <c r="G47" s="191">
        <v>12</v>
      </c>
      <c r="H47" s="192" t="s">
        <v>8</v>
      </c>
      <c r="I47" s="144">
        <v>0.8</v>
      </c>
      <c r="J47" s="200">
        <v>0.26</v>
      </c>
      <c r="K47" s="13">
        <v>0.065</v>
      </c>
      <c r="L47" s="235"/>
    </row>
    <row r="48" spans="3:12" ht="13.5">
      <c r="C48" s="127" t="s">
        <v>90</v>
      </c>
      <c r="D48" s="129" t="str">
        <f>IF(D41&gt;J25,"OK","OUT")</f>
        <v>OUT</v>
      </c>
      <c r="G48" s="99">
        <v>20</v>
      </c>
      <c r="H48" s="35" t="s">
        <v>8</v>
      </c>
      <c r="I48" s="133">
        <v>2</v>
      </c>
      <c r="J48" s="146">
        <v>0.6</v>
      </c>
      <c r="K48" s="12">
        <v>0.18</v>
      </c>
      <c r="L48" s="235"/>
    </row>
    <row r="49" spans="3:12" ht="13.5">
      <c r="C49" s="128" t="s">
        <v>36</v>
      </c>
      <c r="D49" s="129" t="str">
        <f>IF(D42&gt;J25,"OK","OUT")</f>
        <v>OK</v>
      </c>
      <c r="G49" s="99">
        <v>32</v>
      </c>
      <c r="H49" s="35" t="s">
        <v>8</v>
      </c>
      <c r="I49" s="145">
        <v>4.6</v>
      </c>
      <c r="J49" s="146">
        <v>1.4</v>
      </c>
      <c r="K49" s="12">
        <v>0.5</v>
      </c>
      <c r="L49" s="235"/>
    </row>
    <row r="50" spans="3:12" ht="13.5">
      <c r="C50" s="128" t="s">
        <v>37</v>
      </c>
      <c r="D50" s="129" t="str">
        <f>IF(D43&gt;J25,"OK","OUT")</f>
        <v>OK</v>
      </c>
      <c r="G50" s="99">
        <v>36</v>
      </c>
      <c r="H50" s="35" t="s">
        <v>8</v>
      </c>
      <c r="I50" s="132">
        <v>5.7</v>
      </c>
      <c r="J50" s="146">
        <v>1.8</v>
      </c>
      <c r="K50" s="137">
        <v>0.6</v>
      </c>
      <c r="L50" s="235"/>
    </row>
    <row r="51" spans="7:12" ht="13.5">
      <c r="G51" s="99">
        <v>40</v>
      </c>
      <c r="H51" s="35" t="s">
        <v>8</v>
      </c>
      <c r="I51" s="145">
        <v>6.8</v>
      </c>
      <c r="J51" s="146">
        <v>2.1</v>
      </c>
      <c r="K51" s="137">
        <v>0.8</v>
      </c>
      <c r="L51" s="235"/>
    </row>
    <row r="52" spans="7:12" ht="13.5">
      <c r="G52" s="99">
        <v>44</v>
      </c>
      <c r="H52" s="35" t="s">
        <v>8</v>
      </c>
      <c r="I52" s="92"/>
      <c r="J52" s="147">
        <v>2.5</v>
      </c>
      <c r="K52" s="138">
        <v>0.9</v>
      </c>
      <c r="L52" s="235"/>
    </row>
    <row r="53" spans="7:12" ht="13.5">
      <c r="G53" s="44">
        <v>53</v>
      </c>
      <c r="H53" s="154" t="s">
        <v>8</v>
      </c>
      <c r="I53" s="92"/>
      <c r="J53" s="147">
        <v>3.5</v>
      </c>
      <c r="K53" s="138">
        <v>1.2</v>
      </c>
      <c r="L53" s="235"/>
    </row>
    <row r="54" spans="7:12" ht="13.5">
      <c r="G54" s="100">
        <v>60</v>
      </c>
      <c r="H54" s="101" t="s">
        <v>8</v>
      </c>
      <c r="I54" s="9"/>
      <c r="J54" s="148">
        <v>4.4</v>
      </c>
      <c r="K54" s="139">
        <v>1.6</v>
      </c>
      <c r="L54" s="236"/>
    </row>
    <row r="55" ht="13.5" customHeight="1"/>
    <row r="56" spans="7:15" ht="13.5" customHeight="1">
      <c r="G56" s="229" t="s">
        <v>82</v>
      </c>
      <c r="H56" s="237"/>
      <c r="I56" s="237"/>
      <c r="J56" s="237"/>
      <c r="K56" s="230"/>
      <c r="L56" s="234" t="s">
        <v>47</v>
      </c>
      <c r="M56" s="238" t="s">
        <v>95</v>
      </c>
      <c r="N56" s="239"/>
      <c r="O56" s="240"/>
    </row>
    <row r="57" spans="7:15" ht="13.5">
      <c r="G57" s="229"/>
      <c r="H57" s="230"/>
      <c r="I57" s="5" t="s">
        <v>35</v>
      </c>
      <c r="J57" s="17" t="s">
        <v>36</v>
      </c>
      <c r="K57" s="4" t="s">
        <v>37</v>
      </c>
      <c r="L57" s="235"/>
      <c r="M57" s="105" t="s">
        <v>35</v>
      </c>
      <c r="N57" s="106" t="s">
        <v>36</v>
      </c>
      <c r="O57" s="107" t="s">
        <v>37</v>
      </c>
    </row>
    <row r="58" spans="7:15" ht="13.5">
      <c r="G58" s="98">
        <v>12</v>
      </c>
      <c r="H58" s="97" t="s">
        <v>8</v>
      </c>
      <c r="I58" s="144">
        <v>0.6</v>
      </c>
      <c r="J58" s="18">
        <v>0.07</v>
      </c>
      <c r="K58" s="21">
        <v>0.03</v>
      </c>
      <c r="L58" s="235"/>
      <c r="M58" s="104">
        <f>VLOOKUP($J$27,$G$58:$K$65,3)</f>
        <v>0</v>
      </c>
      <c r="N58" s="110">
        <f>VLOOKUP($J$27,$G$58:$K$65,4)</f>
        <v>0.9</v>
      </c>
      <c r="O58" s="109">
        <f>VLOOKUP($J$27,$G$58:$K$65,5)</f>
        <v>0.31</v>
      </c>
    </row>
    <row r="59" spans="7:12" ht="13.5">
      <c r="G59" s="99">
        <v>20</v>
      </c>
      <c r="H59" s="35" t="s">
        <v>8</v>
      </c>
      <c r="I59" s="145">
        <v>1.6</v>
      </c>
      <c r="J59" s="146">
        <v>0.2</v>
      </c>
      <c r="K59" s="22">
        <v>0.08</v>
      </c>
      <c r="L59" s="235"/>
    </row>
    <row r="60" spans="7:12" ht="13.5">
      <c r="G60" s="99">
        <v>32</v>
      </c>
      <c r="H60" s="35" t="s">
        <v>8</v>
      </c>
      <c r="I60" s="145">
        <v>3.7</v>
      </c>
      <c r="J60" s="146">
        <v>0.5</v>
      </c>
      <c r="K60" s="22">
        <v>0.2</v>
      </c>
      <c r="L60" s="235"/>
    </row>
    <row r="61" spans="7:12" ht="13.5">
      <c r="G61" s="99">
        <v>36</v>
      </c>
      <c r="H61" s="35" t="s">
        <v>8</v>
      </c>
      <c r="I61" s="145">
        <v>4.5</v>
      </c>
      <c r="J61" s="146">
        <v>0.6</v>
      </c>
      <c r="K61" s="149">
        <v>0.22</v>
      </c>
      <c r="L61" s="235"/>
    </row>
    <row r="62" spans="7:12" ht="13.5">
      <c r="G62" s="99">
        <v>40</v>
      </c>
      <c r="H62" s="35" t="s">
        <v>8</v>
      </c>
      <c r="I62" s="145">
        <v>5.5</v>
      </c>
      <c r="J62" s="146">
        <v>0.7</v>
      </c>
      <c r="K62" s="149">
        <v>0.27</v>
      </c>
      <c r="L62" s="235"/>
    </row>
    <row r="63" spans="7:12" ht="13.5">
      <c r="G63" s="99">
        <v>44</v>
      </c>
      <c r="H63" s="35" t="s">
        <v>8</v>
      </c>
      <c r="I63" s="93"/>
      <c r="J63" s="147">
        <v>0.9</v>
      </c>
      <c r="K63" s="150">
        <v>0.31</v>
      </c>
      <c r="L63" s="235"/>
    </row>
    <row r="64" spans="7:12" ht="13.5">
      <c r="G64" s="153">
        <v>53</v>
      </c>
      <c r="H64" s="35" t="s">
        <v>8</v>
      </c>
      <c r="I64" s="93"/>
      <c r="J64" s="147">
        <v>1.2</v>
      </c>
      <c r="K64" s="150">
        <v>0.44</v>
      </c>
      <c r="L64" s="235"/>
    </row>
    <row r="65" spans="7:12" ht="13.5">
      <c r="G65" s="100">
        <v>60</v>
      </c>
      <c r="H65" s="101" t="s">
        <v>8</v>
      </c>
      <c r="I65" s="23"/>
      <c r="J65" s="148">
        <v>1.5</v>
      </c>
      <c r="K65" s="151">
        <v>0.54</v>
      </c>
      <c r="L65" s="236"/>
    </row>
    <row r="66" spans="7:8" ht="13.5">
      <c r="G66" s="194"/>
      <c r="H66" s="196"/>
    </row>
    <row r="67" spans="7:8" ht="13.5">
      <c r="G67" s="11"/>
      <c r="H67" s="11"/>
    </row>
  </sheetData>
  <sheetProtection/>
  <mergeCells count="27">
    <mergeCell ref="G56:K56"/>
    <mergeCell ref="L56:L65"/>
    <mergeCell ref="M56:O56"/>
    <mergeCell ref="G57:H57"/>
    <mergeCell ref="G44:K44"/>
    <mergeCell ref="L44:L54"/>
    <mergeCell ref="M44:O44"/>
    <mergeCell ref="G45:H45"/>
    <mergeCell ref="E9:F9"/>
    <mergeCell ref="H9:I10"/>
    <mergeCell ref="L33:L42"/>
    <mergeCell ref="M33:O33"/>
    <mergeCell ref="G34:H34"/>
    <mergeCell ref="C40:E40"/>
    <mergeCell ref="E29:F29"/>
    <mergeCell ref="C31:K31"/>
    <mergeCell ref="C33:E33"/>
    <mergeCell ref="G33:K33"/>
    <mergeCell ref="Q9:Q10"/>
    <mergeCell ref="L11:M11"/>
    <mergeCell ref="H24:H27"/>
    <mergeCell ref="I24:I27"/>
    <mergeCell ref="L25:M25"/>
    <mergeCell ref="L26:M26"/>
    <mergeCell ref="L27:M27"/>
    <mergeCell ref="L15:M15"/>
    <mergeCell ref="L19:M19"/>
  </mergeCells>
  <printOptions/>
  <pageMargins left="0.75" right="0.75" top="1" bottom="1" header="0.512" footer="0.51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4"/>
  <sheetViews>
    <sheetView showZeros="0" zoomScalePageLayoutView="0" workbookViewId="0" topLeftCell="A1">
      <selection activeCell="W35" sqref="W35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6</v>
      </c>
      <c r="E5" s="48" t="s">
        <v>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IF(D5=1,1,IF(D5&lt;5,2,IF(D5&lt;11,3,IF(D5&lt;16,4,0))))</f>
        <v>3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72</v>
      </c>
      <c r="D7" s="1">
        <v>4</v>
      </c>
      <c r="E7" s="48" t="s">
        <v>73</v>
      </c>
      <c r="F7" s="48" t="s">
        <v>134</v>
      </c>
      <c r="G7" s="48"/>
      <c r="H7" s="48"/>
      <c r="I7" s="74">
        <f>IF(D7&lt;=3,D7,IF(D7&lt;=10,ROUND(D7*0.9,0),IF(D7&lt;=20,ROUND(D7*0.8,0),"手動計算")))</f>
        <v>4</v>
      </c>
      <c r="J7" s="48" t="s">
        <v>81</v>
      </c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9</v>
      </c>
      <c r="C10" s="2" t="s">
        <v>12</v>
      </c>
      <c r="D10" s="3">
        <v>13</v>
      </c>
      <c r="E10" s="5">
        <v>12</v>
      </c>
      <c r="F10" s="4" t="s">
        <v>163</v>
      </c>
      <c r="G10" s="48"/>
      <c r="H10" s="250"/>
      <c r="I10" s="251"/>
      <c r="J10" s="56" t="s">
        <v>139</v>
      </c>
      <c r="K10" s="57" t="s">
        <v>140</v>
      </c>
      <c r="L10" s="58" t="s">
        <v>141</v>
      </c>
      <c r="M10" s="58" t="s">
        <v>142</v>
      </c>
      <c r="N10" s="57" t="s">
        <v>142</v>
      </c>
      <c r="O10" s="57" t="s">
        <v>142</v>
      </c>
      <c r="P10" s="59" t="s">
        <v>142</v>
      </c>
      <c r="Q10" s="247"/>
    </row>
    <row r="11" spans="2:17" ht="15" customHeight="1" thickBot="1">
      <c r="B11" s="3" t="s">
        <v>10</v>
      </c>
      <c r="C11" s="2" t="s">
        <v>28</v>
      </c>
      <c r="D11" s="3">
        <v>13</v>
      </c>
      <c r="E11" s="5">
        <v>8</v>
      </c>
      <c r="F11" s="4" t="s">
        <v>163</v>
      </c>
      <c r="G11" s="48"/>
      <c r="H11" s="86" t="s">
        <v>23</v>
      </c>
      <c r="I11" s="52" t="s">
        <v>158</v>
      </c>
      <c r="J11" s="1">
        <v>12</v>
      </c>
      <c r="K11" s="1">
        <v>13</v>
      </c>
      <c r="L11" s="267" t="s">
        <v>26</v>
      </c>
      <c r="M11" s="268"/>
      <c r="N11" s="1">
        <v>0.8</v>
      </c>
      <c r="O11" s="70"/>
      <c r="P11" s="60">
        <f aca="true" t="shared" si="0" ref="P11:P23">+N11+O11</f>
        <v>0.8</v>
      </c>
      <c r="Q11" s="60" t="s">
        <v>50</v>
      </c>
    </row>
    <row r="12" spans="2:21" ht="15" customHeight="1" thickBot="1">
      <c r="B12" s="3" t="s">
        <v>11</v>
      </c>
      <c r="C12" s="2" t="s">
        <v>29</v>
      </c>
      <c r="D12" s="3">
        <v>13</v>
      </c>
      <c r="E12" s="5">
        <v>12</v>
      </c>
      <c r="F12" s="4" t="s">
        <v>163</v>
      </c>
      <c r="G12" s="48"/>
      <c r="H12" s="87" t="s">
        <v>24</v>
      </c>
      <c r="I12" s="88" t="s">
        <v>159</v>
      </c>
      <c r="J12" s="1">
        <v>12</v>
      </c>
      <c r="K12" s="1">
        <v>13</v>
      </c>
      <c r="L12" s="68">
        <f aca="true" t="shared" si="1" ref="L12:L17">IF(+U12&gt;50,ROUND(+U12,-1),+U12)</f>
        <v>230</v>
      </c>
      <c r="M12" s="1">
        <v>5</v>
      </c>
      <c r="N12" s="68">
        <f aca="true" t="shared" si="2" ref="N12:N17">ROUND(+L12/1000*M12,2)</f>
        <v>1.15</v>
      </c>
      <c r="O12" s="1">
        <v>1</v>
      </c>
      <c r="P12" s="61">
        <f t="shared" si="0"/>
        <v>2.15</v>
      </c>
      <c r="Q12" s="61"/>
      <c r="R12" t="s">
        <v>39</v>
      </c>
      <c r="S12">
        <f aca="true" t="shared" si="3" ref="S12:S17">IF(J12&gt;0,ROUND(+J12/1000/60*4/(PI()*(K12/1000)^2),2),0)</f>
        <v>1.51</v>
      </c>
      <c r="T12" t="s">
        <v>21</v>
      </c>
      <c r="U12">
        <f aca="true" t="shared" si="4" ref="U12:U17">IF(J12&gt;0,ROUND(((0.0126+(0.01739-0.1087*+K12/1000)/S12^0.5)*((+S12^2/19.6)/(+K12/1000)))*1000,0),0)</f>
        <v>229</v>
      </c>
    </row>
    <row r="13" spans="2:21" ht="15" customHeight="1" thickBot="1">
      <c r="B13" s="3" t="s">
        <v>30</v>
      </c>
      <c r="C13" s="2"/>
      <c r="D13" s="2"/>
      <c r="E13" s="5"/>
      <c r="F13" s="4" t="s">
        <v>8</v>
      </c>
      <c r="G13" s="48"/>
      <c r="H13" s="87" t="s">
        <v>24</v>
      </c>
      <c r="I13" s="88" t="s">
        <v>145</v>
      </c>
      <c r="J13" s="1">
        <v>32</v>
      </c>
      <c r="K13" s="1">
        <v>20</v>
      </c>
      <c r="L13" s="68">
        <f t="shared" si="1"/>
        <v>180</v>
      </c>
      <c r="M13" s="1">
        <v>10</v>
      </c>
      <c r="N13" s="68">
        <f t="shared" si="2"/>
        <v>1.8</v>
      </c>
      <c r="O13" s="1">
        <v>3</v>
      </c>
      <c r="P13" s="61">
        <f t="shared" si="0"/>
        <v>4.8</v>
      </c>
      <c r="Q13" s="61"/>
      <c r="R13" t="s">
        <v>39</v>
      </c>
      <c r="S13">
        <f t="shared" si="3"/>
        <v>1.7</v>
      </c>
      <c r="T13" t="s">
        <v>21</v>
      </c>
      <c r="U13">
        <f t="shared" si="4"/>
        <v>179</v>
      </c>
    </row>
    <row r="14" spans="2:30" ht="15" customHeight="1" thickBot="1">
      <c r="B14" s="3"/>
      <c r="C14" s="2"/>
      <c r="D14" s="2"/>
      <c r="E14" s="5"/>
      <c r="F14" s="4"/>
      <c r="G14" s="48"/>
      <c r="H14" s="87"/>
      <c r="I14" s="89"/>
      <c r="J14" s="1"/>
      <c r="K14" s="1"/>
      <c r="L14" s="68">
        <f t="shared" si="1"/>
        <v>0</v>
      </c>
      <c r="M14" s="1"/>
      <c r="N14" s="68">
        <f t="shared" si="2"/>
        <v>0</v>
      </c>
      <c r="O14" s="1"/>
      <c r="P14" s="62">
        <f t="shared" si="0"/>
        <v>0</v>
      </c>
      <c r="Q14" s="62"/>
      <c r="R14" t="s">
        <v>39</v>
      </c>
      <c r="S14">
        <f t="shared" si="3"/>
        <v>0</v>
      </c>
      <c r="T14" t="s">
        <v>21</v>
      </c>
      <c r="U14">
        <f t="shared" si="4"/>
        <v>0</v>
      </c>
      <c r="AD14" s="24"/>
    </row>
    <row r="15" spans="2:21" ht="15" customHeight="1" thickBot="1">
      <c r="B15" s="49"/>
      <c r="C15" s="50"/>
      <c r="D15" s="3" t="s">
        <v>22</v>
      </c>
      <c r="E15" s="5">
        <f>SUM(E10:E14)</f>
        <v>32</v>
      </c>
      <c r="F15" s="4" t="s">
        <v>8</v>
      </c>
      <c r="G15" s="48"/>
      <c r="H15" s="87"/>
      <c r="I15" s="90"/>
      <c r="J15" s="1"/>
      <c r="K15" s="1"/>
      <c r="L15" s="68">
        <f t="shared" si="1"/>
        <v>0</v>
      </c>
      <c r="M15" s="1"/>
      <c r="N15" s="68">
        <f t="shared" si="2"/>
        <v>0</v>
      </c>
      <c r="O15" s="1"/>
      <c r="P15" s="62">
        <f t="shared" si="0"/>
        <v>0</v>
      </c>
      <c r="Q15" s="62"/>
      <c r="R15" t="s">
        <v>39</v>
      </c>
      <c r="S15">
        <f t="shared" si="3"/>
        <v>0</v>
      </c>
      <c r="T15" t="s">
        <v>21</v>
      </c>
      <c r="U15">
        <f t="shared" si="4"/>
        <v>0</v>
      </c>
    </row>
    <row r="16" spans="2:21" ht="15" customHeight="1" thickBot="1">
      <c r="B16" s="48"/>
      <c r="C16" s="48"/>
      <c r="D16" s="48"/>
      <c r="E16" s="48"/>
      <c r="F16" s="48"/>
      <c r="G16" s="48"/>
      <c r="H16" s="87"/>
      <c r="I16" s="90"/>
      <c r="J16" s="1"/>
      <c r="K16" s="1"/>
      <c r="L16" s="68">
        <f t="shared" si="1"/>
        <v>0</v>
      </c>
      <c r="M16" s="1"/>
      <c r="N16" s="68">
        <f t="shared" si="2"/>
        <v>0</v>
      </c>
      <c r="O16" s="1"/>
      <c r="P16" s="62">
        <f t="shared" si="0"/>
        <v>0</v>
      </c>
      <c r="Q16" s="62"/>
      <c r="R16" t="s">
        <v>39</v>
      </c>
      <c r="S16">
        <f t="shared" si="3"/>
        <v>0</v>
      </c>
      <c r="T16" t="s">
        <v>21</v>
      </c>
      <c r="U16">
        <f t="shared" si="4"/>
        <v>0</v>
      </c>
    </row>
    <row r="17" spans="1:21" ht="15" customHeight="1" thickBot="1">
      <c r="A17" s="11"/>
      <c r="B17" s="52"/>
      <c r="C17" s="241" t="s">
        <v>62</v>
      </c>
      <c r="D17" s="241"/>
      <c r="E17" s="241"/>
      <c r="F17" s="241"/>
      <c r="G17" s="48"/>
      <c r="H17" s="252" t="s">
        <v>24</v>
      </c>
      <c r="I17" s="254" t="s">
        <v>160</v>
      </c>
      <c r="J17" s="62">
        <f>+E15</f>
        <v>32</v>
      </c>
      <c r="K17" s="1">
        <v>20</v>
      </c>
      <c r="L17" s="68">
        <f t="shared" si="1"/>
        <v>180</v>
      </c>
      <c r="M17" s="1">
        <v>3</v>
      </c>
      <c r="N17" s="69">
        <f t="shared" si="2"/>
        <v>0.54</v>
      </c>
      <c r="O17" s="1">
        <v>0</v>
      </c>
      <c r="P17" s="62">
        <f t="shared" si="0"/>
        <v>0.54</v>
      </c>
      <c r="Q17" s="62"/>
      <c r="R17" t="s">
        <v>39</v>
      </c>
      <c r="S17">
        <f t="shared" si="3"/>
        <v>1.7</v>
      </c>
      <c r="T17" t="s">
        <v>21</v>
      </c>
      <c r="U17">
        <f t="shared" si="4"/>
        <v>179</v>
      </c>
    </row>
    <row r="18" spans="1:17" ht="15" customHeight="1" thickBot="1">
      <c r="A18" s="11"/>
      <c r="B18" s="52"/>
      <c r="C18" s="33" t="s">
        <v>63</v>
      </c>
      <c r="D18" s="32" t="s">
        <v>64</v>
      </c>
      <c r="E18" s="266" t="s">
        <v>65</v>
      </c>
      <c r="F18" s="266"/>
      <c r="G18" s="48"/>
      <c r="H18" s="253"/>
      <c r="I18" s="255"/>
      <c r="J18" s="62">
        <f>+J17</f>
        <v>32</v>
      </c>
      <c r="K18" s="1">
        <v>13</v>
      </c>
      <c r="L18" s="264" t="s">
        <v>20</v>
      </c>
      <c r="M18" s="265"/>
      <c r="N18" s="122">
        <f>IF(K18=13,O31,IF(K18=20,P31,(IF(K18=25,Q31,""))))</f>
        <v>3.9</v>
      </c>
      <c r="O18" s="71"/>
      <c r="P18" s="62">
        <f t="shared" si="0"/>
        <v>3.9</v>
      </c>
      <c r="Q18" s="62" t="s">
        <v>51</v>
      </c>
    </row>
    <row r="19" spans="1:17" ht="15" customHeight="1" thickBot="1">
      <c r="A19" s="11"/>
      <c r="B19" s="51"/>
      <c r="C19" s="2">
        <v>100</v>
      </c>
      <c r="D19" s="2">
        <v>90</v>
      </c>
      <c r="E19" s="241">
        <v>80</v>
      </c>
      <c r="F19" s="241"/>
      <c r="G19" s="48"/>
      <c r="H19" s="269"/>
      <c r="I19" s="270"/>
      <c r="J19" s="62">
        <f>+J17</f>
        <v>32</v>
      </c>
      <c r="K19" s="1">
        <v>20</v>
      </c>
      <c r="L19" s="260" t="s">
        <v>19</v>
      </c>
      <c r="M19" s="261"/>
      <c r="N19" s="122">
        <f>IF(K19=13,O46,IF(K19=20,P46,(IF(K19=25,Q46,""))))</f>
        <v>1.4</v>
      </c>
      <c r="O19" s="71"/>
      <c r="P19" s="62">
        <f t="shared" si="0"/>
        <v>1.4</v>
      </c>
      <c r="Q19" s="62" t="s">
        <v>50</v>
      </c>
    </row>
    <row r="20" spans="1:21" ht="15" customHeight="1" thickBot="1">
      <c r="A20" s="11"/>
      <c r="B20" s="51"/>
      <c r="C20" s="51"/>
      <c r="D20" s="51"/>
      <c r="E20" s="51"/>
      <c r="F20" s="51"/>
      <c r="G20" s="48"/>
      <c r="H20" s="252" t="s">
        <v>52</v>
      </c>
      <c r="I20" s="91" t="s">
        <v>161</v>
      </c>
      <c r="J20" s="1">
        <v>115.2</v>
      </c>
      <c r="K20" s="1">
        <v>40</v>
      </c>
      <c r="L20" s="68">
        <f>IF(+U20&gt;50,ROUND(+U20,-1),+U20)</f>
        <v>70</v>
      </c>
      <c r="M20" s="1">
        <v>3</v>
      </c>
      <c r="N20" s="68">
        <f>ROUND(+L20/1000*M20,2)</f>
        <v>0.21</v>
      </c>
      <c r="O20" s="1">
        <v>0</v>
      </c>
      <c r="P20" s="62">
        <f t="shared" si="0"/>
        <v>0.21</v>
      </c>
      <c r="Q20" s="62"/>
      <c r="R20" t="s">
        <v>39</v>
      </c>
      <c r="S20">
        <f>IF(J20&gt;0,ROUND(+J20/1000/60*4/(PI()*(K20/1000)^2),2),0)</f>
        <v>1.53</v>
      </c>
      <c r="T20" t="s">
        <v>21</v>
      </c>
      <c r="U20">
        <f>IF(J20&gt;0,ROUND(((0.0126+(0.01739-0.1087*+K20/1000)/S20^0.5)*((+S20^2/19.6)/(+K20/1000)))*1000,0),0)</f>
        <v>69</v>
      </c>
    </row>
    <row r="21" spans="2:21" ht="15" customHeight="1" thickBot="1">
      <c r="B21" s="48"/>
      <c r="C21" s="48"/>
      <c r="D21" s="48"/>
      <c r="E21" s="48"/>
      <c r="F21" s="48"/>
      <c r="G21" s="48"/>
      <c r="H21" s="253"/>
      <c r="I21" s="254" t="s">
        <v>162</v>
      </c>
      <c r="J21" s="61">
        <f>+J20</f>
        <v>115.2</v>
      </c>
      <c r="K21" s="1">
        <v>40</v>
      </c>
      <c r="L21" s="68">
        <f>IF(+U21&gt;50,ROUND(+U21,-1),+U21)</f>
        <v>70</v>
      </c>
      <c r="M21" s="1">
        <v>10</v>
      </c>
      <c r="N21" s="69">
        <f>ROUND(+L21/1000*M21,2)</f>
        <v>0.7</v>
      </c>
      <c r="O21" s="1">
        <v>0.6</v>
      </c>
      <c r="P21" s="62">
        <f t="shared" si="0"/>
        <v>1.2999999999999998</v>
      </c>
      <c r="Q21" s="62"/>
      <c r="R21" t="s">
        <v>39</v>
      </c>
      <c r="S21">
        <f>IF(J21&gt;0,ROUND(+J21/1000/60*4/(PI()*(K21/1000)^2),2),0)</f>
        <v>1.53</v>
      </c>
      <c r="T21" t="s">
        <v>21</v>
      </c>
      <c r="U21">
        <f>IF(J21&gt;0,ROUND(((0.0126+(0.01739-0.1087*+K21/1000)/S21^0.5)*((+S21^2/19.6)/(+K21/1000)))*1000,0),0)</f>
        <v>69</v>
      </c>
    </row>
    <row r="22" spans="2:17" ht="15" customHeight="1" thickBot="1">
      <c r="B22" s="48"/>
      <c r="C22" s="48"/>
      <c r="D22" s="48"/>
      <c r="E22" s="48"/>
      <c r="F22" s="48"/>
      <c r="G22" s="48"/>
      <c r="H22" s="253"/>
      <c r="I22" s="255"/>
      <c r="J22" s="61">
        <f>+J20</f>
        <v>115.2</v>
      </c>
      <c r="K22" s="1">
        <v>40</v>
      </c>
      <c r="L22" s="264" t="s">
        <v>109</v>
      </c>
      <c r="M22" s="265"/>
      <c r="N22" s="123">
        <f>IF(K22=20,P50,IF(K22=25,Q50,(IF(K22=40,R50,IF(K22=50,T50,"")))))</f>
        <v>1</v>
      </c>
      <c r="O22" s="71"/>
      <c r="P22" s="62">
        <f t="shared" si="0"/>
        <v>1</v>
      </c>
      <c r="Q22" s="62" t="s">
        <v>50</v>
      </c>
    </row>
    <row r="23" spans="2:17" ht="15" customHeight="1" thickBot="1">
      <c r="B23" s="48"/>
      <c r="C23" s="48"/>
      <c r="D23" s="48"/>
      <c r="E23" s="48"/>
      <c r="F23" s="48"/>
      <c r="G23" s="48"/>
      <c r="H23" s="250"/>
      <c r="I23" s="251"/>
      <c r="J23" s="75">
        <f>+J20</f>
        <v>115.2</v>
      </c>
      <c r="K23" s="1">
        <v>40</v>
      </c>
      <c r="L23" s="262" t="s">
        <v>40</v>
      </c>
      <c r="M23" s="263"/>
      <c r="N23" s="111">
        <f>IF(K23=20,P62,IF(K23=25,Q62,(IF(K23=40,R62,IF(K23=50,T62,"")))))</f>
        <v>0.8</v>
      </c>
      <c r="O23" s="72"/>
      <c r="P23" s="63">
        <f t="shared" si="0"/>
        <v>0.8</v>
      </c>
      <c r="Q23" s="63" t="s">
        <v>49</v>
      </c>
    </row>
    <row r="24" spans="2:17" ht="15" customHeight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64" t="s">
        <v>22</v>
      </c>
      <c r="P24" s="10">
        <f>SUM(P11:P23)</f>
        <v>16.900000000000002</v>
      </c>
      <c r="Q24" s="126" t="s">
        <v>107</v>
      </c>
    </row>
    <row r="25" spans="2:17" ht="15" customHeight="1">
      <c r="B25" s="48"/>
      <c r="C25" s="124" t="s">
        <v>106</v>
      </c>
      <c r="D25" s="48"/>
      <c r="E25" s="256" t="str">
        <f>IF(K18=13,D49,IF(K18=20,D50,IF(K18=25,D51,"")))</f>
        <v>OK</v>
      </c>
      <c r="F25" s="256"/>
      <c r="G25" s="48"/>
      <c r="H25" s="48"/>
      <c r="I25" s="48"/>
      <c r="J25" s="48"/>
      <c r="K25" s="48"/>
      <c r="L25" s="65" t="s">
        <v>157</v>
      </c>
      <c r="M25" s="66" t="str">
        <f>IF((20.4-P24)&gt;0,"＞","＜")</f>
        <v>＞</v>
      </c>
      <c r="N25" s="48" t="str">
        <f>+P24/10&amp;+"ｋｇｆ/cm2"</f>
        <v>1.69ｋｇｆ/cm2</v>
      </c>
      <c r="O25" s="48"/>
      <c r="P25" s="67" t="str">
        <f>IF((20.4-P24)&gt;0,"OK","OUT")</f>
        <v>OK</v>
      </c>
      <c r="Q25" s="125" t="str">
        <f>IF(S21&lt;2,"OK","OUT")</f>
        <v>OK</v>
      </c>
    </row>
    <row r="27" spans="3:12" ht="14.25">
      <c r="C27" s="233" t="s">
        <v>79</v>
      </c>
      <c r="D27" s="233"/>
      <c r="E27" s="233"/>
      <c r="F27" s="233"/>
      <c r="G27" s="233"/>
      <c r="H27" s="233"/>
      <c r="I27" s="233"/>
      <c r="J27" s="233"/>
      <c r="K27" s="233"/>
      <c r="L27" s="233"/>
    </row>
    <row r="29" spans="3:21" ht="13.5" customHeight="1">
      <c r="C29" s="241" t="s">
        <v>75</v>
      </c>
      <c r="D29" s="241"/>
      <c r="E29" s="241"/>
      <c r="G29" s="229" t="s">
        <v>34</v>
      </c>
      <c r="H29" s="237"/>
      <c r="I29" s="237"/>
      <c r="J29" s="237"/>
      <c r="K29" s="237"/>
      <c r="L29" s="237"/>
      <c r="M29" s="230"/>
      <c r="N29" s="234" t="s">
        <v>46</v>
      </c>
      <c r="O29" s="238" t="s">
        <v>94</v>
      </c>
      <c r="P29" s="239"/>
      <c r="Q29" s="239"/>
      <c r="R29" s="239"/>
      <c r="S29" s="239"/>
      <c r="T29" s="239"/>
      <c r="U29" s="240"/>
    </row>
    <row r="30" spans="3:21" ht="13.5" customHeight="1">
      <c r="C30" s="3" t="s">
        <v>74</v>
      </c>
      <c r="D30" s="2">
        <v>2</v>
      </c>
      <c r="E30" s="2" t="s">
        <v>3</v>
      </c>
      <c r="G30" s="229"/>
      <c r="H30" s="230"/>
      <c r="I30" s="5" t="s">
        <v>35</v>
      </c>
      <c r="J30" s="17" t="s">
        <v>36</v>
      </c>
      <c r="K30" s="36" t="s">
        <v>37</v>
      </c>
      <c r="L30" s="112" t="s">
        <v>67</v>
      </c>
      <c r="M30" s="39" t="s">
        <v>58</v>
      </c>
      <c r="N30" s="235"/>
      <c r="O30" s="105" t="s">
        <v>90</v>
      </c>
      <c r="P30" s="106" t="s">
        <v>89</v>
      </c>
      <c r="Q30" s="115" t="s">
        <v>37</v>
      </c>
      <c r="R30" s="271" t="s">
        <v>67</v>
      </c>
      <c r="S30" s="272"/>
      <c r="T30" s="239" t="s">
        <v>88</v>
      </c>
      <c r="U30" s="240"/>
    </row>
    <row r="31" spans="3:21" ht="13.5" customHeight="1">
      <c r="C31" s="3" t="s">
        <v>76</v>
      </c>
      <c r="D31" s="2">
        <v>3</v>
      </c>
      <c r="E31" s="2" t="s">
        <v>3</v>
      </c>
      <c r="G31" s="98">
        <v>12</v>
      </c>
      <c r="H31" s="97" t="s">
        <v>59</v>
      </c>
      <c r="I31" s="130">
        <v>0.7</v>
      </c>
      <c r="J31" s="7">
        <v>0.18</v>
      </c>
      <c r="K31" s="13">
        <v>0.14</v>
      </c>
      <c r="L31" s="37"/>
      <c r="M31" s="13"/>
      <c r="N31" s="235"/>
      <c r="O31" s="104">
        <f>VLOOKUP($J$18,$G$31:$M$42,3)</f>
        <v>3.9</v>
      </c>
      <c r="P31" s="110">
        <f>VLOOKUP($J$18,$G$31:$M$42,4)</f>
        <v>1.2</v>
      </c>
      <c r="Q31" s="116">
        <f>VLOOKUP($J$18,$G$31:$M$42,5)</f>
        <v>0.8</v>
      </c>
      <c r="R31" s="273"/>
      <c r="S31" s="274"/>
      <c r="T31" s="273"/>
      <c r="U31" s="275"/>
    </row>
    <row r="32" spans="3:14" ht="13.5" customHeight="1">
      <c r="C32" s="3" t="s">
        <v>77</v>
      </c>
      <c r="D32" s="2">
        <v>4</v>
      </c>
      <c r="E32" s="2" t="s">
        <v>3</v>
      </c>
      <c r="G32" s="99">
        <v>20</v>
      </c>
      <c r="H32" s="35" t="s">
        <v>59</v>
      </c>
      <c r="I32" s="131">
        <v>1.7</v>
      </c>
      <c r="J32" s="134">
        <v>0.6</v>
      </c>
      <c r="K32" s="12">
        <v>0.3</v>
      </c>
      <c r="L32" s="38"/>
      <c r="M32" s="12"/>
      <c r="N32" s="235"/>
    </row>
    <row r="33" spans="3:14" ht="13.5" customHeight="1">
      <c r="C33" s="3" t="s">
        <v>78</v>
      </c>
      <c r="D33" s="2">
        <v>5</v>
      </c>
      <c r="E33" s="2" t="s">
        <v>3</v>
      </c>
      <c r="G33" s="99">
        <v>32</v>
      </c>
      <c r="H33" s="35" t="s">
        <v>59</v>
      </c>
      <c r="I33" s="131">
        <v>3.9</v>
      </c>
      <c r="J33" s="134">
        <v>1.2</v>
      </c>
      <c r="K33" s="12">
        <v>0.8</v>
      </c>
      <c r="L33" s="38"/>
      <c r="M33" s="12"/>
      <c r="N33" s="235"/>
    </row>
    <row r="34" spans="7:14" ht="13.5" customHeight="1">
      <c r="G34" s="99">
        <v>36</v>
      </c>
      <c r="H34" s="35" t="s">
        <v>59</v>
      </c>
      <c r="I34" s="132">
        <v>4.8</v>
      </c>
      <c r="J34" s="134">
        <v>1.5</v>
      </c>
      <c r="K34" s="140">
        <v>1.1</v>
      </c>
      <c r="L34" s="38"/>
      <c r="M34" s="12"/>
      <c r="N34" s="235"/>
    </row>
    <row r="35" spans="7:14" ht="13.5" customHeight="1">
      <c r="G35" s="99">
        <v>40</v>
      </c>
      <c r="H35" s="35" t="s">
        <v>59</v>
      </c>
      <c r="I35" s="132">
        <v>5.9</v>
      </c>
      <c r="J35" s="134">
        <v>1.9</v>
      </c>
      <c r="K35" s="140">
        <v>1.3</v>
      </c>
      <c r="L35" s="38"/>
      <c r="M35" s="12"/>
      <c r="N35" s="235"/>
    </row>
    <row r="36" spans="7:14" ht="13.5" customHeight="1">
      <c r="G36" s="153">
        <v>44</v>
      </c>
      <c r="H36" s="35" t="s">
        <v>59</v>
      </c>
      <c r="I36" s="133">
        <v>7</v>
      </c>
      <c r="J36" s="135">
        <v>2.2</v>
      </c>
      <c r="K36" s="141">
        <v>1.6</v>
      </c>
      <c r="L36" s="38"/>
      <c r="M36" s="12"/>
      <c r="N36" s="235"/>
    </row>
    <row r="37" spans="7:14" ht="13.5" customHeight="1">
      <c r="G37" s="153">
        <v>53</v>
      </c>
      <c r="H37" s="154" t="s">
        <v>8</v>
      </c>
      <c r="I37" s="142"/>
      <c r="J37" s="135">
        <v>3.1</v>
      </c>
      <c r="K37" s="141">
        <v>2.2</v>
      </c>
      <c r="L37" s="38"/>
      <c r="M37" s="12"/>
      <c r="N37" s="235"/>
    </row>
    <row r="38" spans="7:14" ht="13.5" customHeight="1">
      <c r="G38" s="153">
        <v>60</v>
      </c>
      <c r="H38" s="197" t="s">
        <v>59</v>
      </c>
      <c r="I38" s="26"/>
      <c r="J38" s="134">
        <v>3.8</v>
      </c>
      <c r="K38" s="134">
        <v>2.7</v>
      </c>
      <c r="L38" s="140">
        <v>0.4</v>
      </c>
      <c r="M38" s="137">
        <v>0.16</v>
      </c>
      <c r="N38" s="235"/>
    </row>
    <row r="39" spans="6:14" ht="13.5" customHeight="1">
      <c r="F39" s="25" t="s">
        <v>70</v>
      </c>
      <c r="G39" s="99">
        <v>96</v>
      </c>
      <c r="H39" s="35" t="s">
        <v>59</v>
      </c>
      <c r="I39" s="8"/>
      <c r="J39" s="143"/>
      <c r="K39" s="159">
        <v>6.3</v>
      </c>
      <c r="L39" s="160">
        <v>1</v>
      </c>
      <c r="M39" s="137">
        <v>0.34</v>
      </c>
      <c r="N39" s="235"/>
    </row>
    <row r="40" spans="5:14" ht="13.5" customHeight="1">
      <c r="E40" s="25" t="s">
        <v>61</v>
      </c>
      <c r="F40" s="25" t="s">
        <v>71</v>
      </c>
      <c r="G40" s="198">
        <v>128</v>
      </c>
      <c r="H40" s="197" t="s">
        <v>59</v>
      </c>
      <c r="I40" s="26"/>
      <c r="J40" s="27"/>
      <c r="K40" s="152">
        <v>10.6</v>
      </c>
      <c r="L40" s="161">
        <v>1.7</v>
      </c>
      <c r="M40" s="150">
        <v>0.6</v>
      </c>
      <c r="N40" s="235"/>
    </row>
    <row r="41" spans="3:14" ht="13.5" customHeight="1">
      <c r="C41" s="229" t="s">
        <v>53</v>
      </c>
      <c r="D41" s="237"/>
      <c r="E41" s="230"/>
      <c r="F41" s="25" t="s">
        <v>69</v>
      </c>
      <c r="G41" s="198">
        <v>160</v>
      </c>
      <c r="H41" s="197" t="s">
        <v>59</v>
      </c>
      <c r="I41" s="26"/>
      <c r="J41" s="27"/>
      <c r="K41" s="27"/>
      <c r="L41" s="162">
        <v>2.5</v>
      </c>
      <c r="M41" s="138">
        <v>0.9</v>
      </c>
      <c r="N41" s="235"/>
    </row>
    <row r="42" spans="3:14" ht="13.5" customHeight="1">
      <c r="C42" s="2" t="s">
        <v>54</v>
      </c>
      <c r="D42" s="5">
        <v>41</v>
      </c>
      <c r="E42" s="4" t="s">
        <v>59</v>
      </c>
      <c r="F42" s="25" t="s">
        <v>68</v>
      </c>
      <c r="G42" s="199">
        <v>224</v>
      </c>
      <c r="H42" s="101" t="s">
        <v>59</v>
      </c>
      <c r="I42" s="9"/>
      <c r="J42" s="19"/>
      <c r="K42" s="19"/>
      <c r="L42" s="163">
        <v>4.5</v>
      </c>
      <c r="M42" s="151">
        <v>1.6</v>
      </c>
      <c r="N42" s="236"/>
    </row>
    <row r="43" spans="3:5" ht="13.5" customHeight="1">
      <c r="C43" s="2" t="s">
        <v>55</v>
      </c>
      <c r="D43" s="5">
        <v>66</v>
      </c>
      <c r="E43" s="4" t="s">
        <v>59</v>
      </c>
    </row>
    <row r="44" spans="3:21" ht="13.5" customHeight="1">
      <c r="C44" s="2" t="s">
        <v>56</v>
      </c>
      <c r="D44" s="5">
        <v>105</v>
      </c>
      <c r="E44" s="4" t="s">
        <v>59</v>
      </c>
      <c r="G44" s="229" t="s">
        <v>45</v>
      </c>
      <c r="H44" s="237"/>
      <c r="I44" s="237"/>
      <c r="J44" s="237"/>
      <c r="K44" s="237"/>
      <c r="L44" s="237"/>
      <c r="M44" s="230"/>
      <c r="N44" s="234" t="s">
        <v>48</v>
      </c>
      <c r="O44" s="238" t="s">
        <v>91</v>
      </c>
      <c r="P44" s="239"/>
      <c r="Q44" s="239"/>
      <c r="R44" s="239"/>
      <c r="S44" s="239"/>
      <c r="T44" s="239"/>
      <c r="U44" s="240"/>
    </row>
    <row r="45" spans="3:21" ht="13.5" customHeight="1">
      <c r="C45" s="2" t="s">
        <v>57</v>
      </c>
      <c r="D45" s="31">
        <v>266</v>
      </c>
      <c r="E45" s="4" t="s">
        <v>59</v>
      </c>
      <c r="G45" s="229"/>
      <c r="H45" s="230"/>
      <c r="I45" s="5" t="s">
        <v>35</v>
      </c>
      <c r="J45" s="17" t="s">
        <v>36</v>
      </c>
      <c r="K45" s="17" t="s">
        <v>37</v>
      </c>
      <c r="L45" s="36" t="s">
        <v>67</v>
      </c>
      <c r="M45" s="39" t="s">
        <v>58</v>
      </c>
      <c r="N45" s="235"/>
      <c r="O45" s="105" t="s">
        <v>90</v>
      </c>
      <c r="P45" s="106" t="s">
        <v>89</v>
      </c>
      <c r="Q45" s="115" t="s">
        <v>37</v>
      </c>
      <c r="R45" s="271" t="s">
        <v>67</v>
      </c>
      <c r="S45" s="272"/>
      <c r="T45" s="239" t="s">
        <v>88</v>
      </c>
      <c r="U45" s="240"/>
    </row>
    <row r="46" spans="3:21" ht="13.5" customHeight="1">
      <c r="C46" s="2" t="s">
        <v>58</v>
      </c>
      <c r="D46" s="5">
        <v>666</v>
      </c>
      <c r="E46" s="4" t="s">
        <v>59</v>
      </c>
      <c r="G46" s="98">
        <v>8</v>
      </c>
      <c r="H46" s="97" t="s">
        <v>8</v>
      </c>
      <c r="I46" s="193">
        <v>0.4</v>
      </c>
      <c r="J46" s="189">
        <v>0.08</v>
      </c>
      <c r="K46" s="190"/>
      <c r="L46" s="11"/>
      <c r="M46" s="195"/>
      <c r="N46" s="235"/>
      <c r="O46" s="104">
        <f>VLOOKUP($J$19,$G$46:$M$58,3)</f>
        <v>4.6</v>
      </c>
      <c r="P46" s="110">
        <f>VLOOKUP($J$19,$G$46:$M$58,4)</f>
        <v>1.4</v>
      </c>
      <c r="Q46" s="116">
        <f>VLOOKUP($J$19,$G$46:$M$58,5)</f>
        <v>0.5</v>
      </c>
      <c r="R46" s="271"/>
      <c r="S46" s="272"/>
      <c r="T46" s="271"/>
      <c r="U46" s="240"/>
    </row>
    <row r="47" spans="3:14" ht="13.5" customHeight="1">
      <c r="C47" s="2" t="s">
        <v>60</v>
      </c>
      <c r="D47" s="5">
        <v>1050</v>
      </c>
      <c r="E47" s="4" t="s">
        <v>59</v>
      </c>
      <c r="G47" s="191">
        <v>12</v>
      </c>
      <c r="H47" s="192" t="s">
        <v>8</v>
      </c>
      <c r="I47" s="144">
        <v>0.8</v>
      </c>
      <c r="J47" s="200">
        <v>0.26</v>
      </c>
      <c r="K47" s="13">
        <v>0.065</v>
      </c>
      <c r="L47" s="118"/>
      <c r="M47" s="13"/>
      <c r="N47" s="235"/>
    </row>
    <row r="48" spans="7:21" ht="13.5" customHeight="1">
      <c r="G48" s="99">
        <v>20</v>
      </c>
      <c r="H48" s="35" t="s">
        <v>8</v>
      </c>
      <c r="I48" s="133">
        <v>2</v>
      </c>
      <c r="J48" s="146">
        <v>0.6</v>
      </c>
      <c r="K48" s="12">
        <v>0.18</v>
      </c>
      <c r="L48" s="113"/>
      <c r="M48" s="12"/>
      <c r="N48" s="235"/>
      <c r="O48" s="238" t="s">
        <v>117</v>
      </c>
      <c r="P48" s="239"/>
      <c r="Q48" s="239"/>
      <c r="R48" s="239"/>
      <c r="S48" s="239"/>
      <c r="T48" s="239"/>
      <c r="U48" s="240"/>
    </row>
    <row r="49" spans="3:21" ht="13.5" customHeight="1">
      <c r="C49" s="127" t="s">
        <v>90</v>
      </c>
      <c r="D49" s="129" t="str">
        <f>IF(D42&gt;J18,"OK","OUT")</f>
        <v>OK</v>
      </c>
      <c r="G49" s="99">
        <v>32</v>
      </c>
      <c r="H49" s="35" t="s">
        <v>8</v>
      </c>
      <c r="I49" s="145">
        <v>4.6</v>
      </c>
      <c r="J49" s="146">
        <v>1.4</v>
      </c>
      <c r="K49" s="12">
        <v>0.5</v>
      </c>
      <c r="L49" s="113"/>
      <c r="M49" s="12"/>
      <c r="N49" s="235"/>
      <c r="O49" s="105" t="s">
        <v>90</v>
      </c>
      <c r="P49" s="106" t="s">
        <v>89</v>
      </c>
      <c r="Q49" s="115" t="s">
        <v>37</v>
      </c>
      <c r="R49" s="117" t="s">
        <v>67</v>
      </c>
      <c r="S49" s="121"/>
      <c r="T49" s="102" t="s">
        <v>88</v>
      </c>
      <c r="U49" s="103"/>
    </row>
    <row r="50" spans="3:21" ht="13.5" customHeight="1">
      <c r="C50" s="128" t="s">
        <v>36</v>
      </c>
      <c r="D50" s="129" t="str">
        <f>IF(D43&gt;J18,"OK","OUT")</f>
        <v>OK</v>
      </c>
      <c r="G50" s="99">
        <v>36</v>
      </c>
      <c r="H50" s="35" t="s">
        <v>8</v>
      </c>
      <c r="I50" s="132">
        <v>5.7</v>
      </c>
      <c r="J50" s="146">
        <v>1.8</v>
      </c>
      <c r="K50" s="134">
        <v>0.6</v>
      </c>
      <c r="L50" s="113"/>
      <c r="M50" s="12"/>
      <c r="N50" s="235"/>
      <c r="O50" s="104"/>
      <c r="P50" s="110">
        <f>VLOOKUP($J$22,$G$46:$M$58,4)</f>
        <v>0</v>
      </c>
      <c r="Q50" s="116">
        <f>VLOOKUP($J$22,$G$46:$M$58,5)</f>
        <v>3.6</v>
      </c>
      <c r="R50" s="273">
        <f>VLOOKUP($J$22,$G$46:$M$58,6)</f>
        <v>1</v>
      </c>
      <c r="S50" s="274"/>
      <c r="T50" s="273">
        <f>VLOOKUP($J$22,$G$46:$M$58,7)</f>
        <v>1</v>
      </c>
      <c r="U50" s="275"/>
    </row>
    <row r="51" spans="3:21" ht="13.5" customHeight="1">
      <c r="C51" s="128" t="s">
        <v>37</v>
      </c>
      <c r="D51" s="129" t="str">
        <f>IF(D44&gt;J18,"OK","OUT")</f>
        <v>OK</v>
      </c>
      <c r="G51" s="99">
        <v>40</v>
      </c>
      <c r="H51" s="35" t="s">
        <v>8</v>
      </c>
      <c r="I51" s="145">
        <v>6.8</v>
      </c>
      <c r="J51" s="146">
        <v>2.1</v>
      </c>
      <c r="K51" s="146">
        <v>0.8</v>
      </c>
      <c r="L51" s="113"/>
      <c r="M51" s="12"/>
      <c r="N51" s="235"/>
      <c r="O51" s="182"/>
      <c r="P51" s="182"/>
      <c r="Q51" s="182"/>
      <c r="R51" s="201"/>
      <c r="S51" s="201"/>
      <c r="T51" s="201"/>
      <c r="U51" s="201"/>
    </row>
    <row r="52" spans="7:21" ht="13.5" customHeight="1">
      <c r="G52" s="153">
        <v>44</v>
      </c>
      <c r="H52" s="35" t="s">
        <v>59</v>
      </c>
      <c r="I52" s="93"/>
      <c r="J52" s="147">
        <v>2.5</v>
      </c>
      <c r="K52" s="147">
        <v>0.9</v>
      </c>
      <c r="L52" s="114"/>
      <c r="M52" s="12"/>
      <c r="N52" s="235"/>
      <c r="O52" s="182"/>
      <c r="P52" s="182"/>
      <c r="Q52" s="182"/>
      <c r="R52" s="201"/>
      <c r="S52" s="201"/>
      <c r="T52" s="201"/>
      <c r="U52" s="201"/>
    </row>
    <row r="53" spans="3:21" ht="13.5" customHeight="1">
      <c r="C53" s="155"/>
      <c r="D53" s="156"/>
      <c r="G53" s="153">
        <v>53</v>
      </c>
      <c r="H53" s="154" t="s">
        <v>8</v>
      </c>
      <c r="I53" s="93"/>
      <c r="J53" s="147">
        <v>3.5</v>
      </c>
      <c r="K53" s="147">
        <v>1.2</v>
      </c>
      <c r="L53" s="114"/>
      <c r="M53" s="12"/>
      <c r="N53" s="235"/>
      <c r="O53" s="169"/>
      <c r="P53" s="169"/>
      <c r="Q53" s="169"/>
      <c r="R53" s="169"/>
      <c r="S53" s="169"/>
      <c r="T53" s="169"/>
      <c r="U53" s="169"/>
    </row>
    <row r="54" spans="7:14" ht="13.5" customHeight="1">
      <c r="G54" s="153">
        <v>60</v>
      </c>
      <c r="H54" s="197" t="s">
        <v>59</v>
      </c>
      <c r="I54" s="93"/>
      <c r="J54" s="152">
        <v>4.4</v>
      </c>
      <c r="K54" s="147">
        <v>1.6</v>
      </c>
      <c r="L54" s="162">
        <v>1</v>
      </c>
      <c r="M54" s="137">
        <v>1</v>
      </c>
      <c r="N54" s="235"/>
    </row>
    <row r="55" spans="6:14" ht="13.5" customHeight="1">
      <c r="F55" s="25" t="s">
        <v>70</v>
      </c>
      <c r="G55" s="99">
        <v>96</v>
      </c>
      <c r="H55" s="35" t="s">
        <v>59</v>
      </c>
      <c r="I55" s="93"/>
      <c r="J55" s="27"/>
      <c r="K55" s="147">
        <v>3.6</v>
      </c>
      <c r="L55" s="162">
        <v>1</v>
      </c>
      <c r="M55" s="137">
        <v>1</v>
      </c>
      <c r="N55" s="235"/>
    </row>
    <row r="56" spans="6:14" ht="13.5" customHeight="1">
      <c r="F56" s="25" t="s">
        <v>71</v>
      </c>
      <c r="G56" s="198">
        <v>128</v>
      </c>
      <c r="H56" s="197" t="s">
        <v>59</v>
      </c>
      <c r="I56" s="93"/>
      <c r="J56" s="27"/>
      <c r="K56" s="152">
        <v>6</v>
      </c>
      <c r="L56" s="162">
        <v>1</v>
      </c>
      <c r="M56" s="150">
        <v>1</v>
      </c>
      <c r="N56" s="235"/>
    </row>
    <row r="57" spans="6:14" ht="13.5" customHeight="1">
      <c r="F57" s="25" t="s">
        <v>69</v>
      </c>
      <c r="G57" s="198">
        <v>160</v>
      </c>
      <c r="H57" s="197" t="s">
        <v>59</v>
      </c>
      <c r="I57" s="26"/>
      <c r="J57" s="27"/>
      <c r="K57" s="6"/>
      <c r="L57" s="162">
        <v>1</v>
      </c>
      <c r="M57" s="138">
        <v>1</v>
      </c>
      <c r="N57" s="235"/>
    </row>
    <row r="58" spans="6:14" ht="13.5" customHeight="1">
      <c r="F58" s="25" t="s">
        <v>68</v>
      </c>
      <c r="G58" s="199">
        <v>224</v>
      </c>
      <c r="H58" s="101" t="s">
        <v>59</v>
      </c>
      <c r="I58" s="9"/>
      <c r="J58" s="19"/>
      <c r="K58" s="41"/>
      <c r="L58" s="163"/>
      <c r="M58" s="151">
        <v>1</v>
      </c>
      <c r="N58" s="236"/>
    </row>
    <row r="59" ht="13.5" customHeight="1"/>
    <row r="60" spans="7:21" ht="13.5" customHeight="1">
      <c r="G60" s="229" t="s">
        <v>38</v>
      </c>
      <c r="H60" s="237"/>
      <c r="I60" s="237"/>
      <c r="J60" s="237"/>
      <c r="K60" s="237"/>
      <c r="L60" s="237"/>
      <c r="M60" s="230"/>
      <c r="N60" s="234" t="s">
        <v>47</v>
      </c>
      <c r="O60" s="238" t="s">
        <v>93</v>
      </c>
      <c r="P60" s="239"/>
      <c r="Q60" s="239"/>
      <c r="R60" s="239"/>
      <c r="S60" s="239"/>
      <c r="T60" s="239"/>
      <c r="U60" s="240"/>
    </row>
    <row r="61" spans="7:21" ht="13.5" customHeight="1">
      <c r="G61" s="229"/>
      <c r="H61" s="230"/>
      <c r="I61" s="5" t="s">
        <v>35</v>
      </c>
      <c r="J61" s="17" t="s">
        <v>36</v>
      </c>
      <c r="K61" s="17" t="s">
        <v>37</v>
      </c>
      <c r="L61" s="36" t="s">
        <v>67</v>
      </c>
      <c r="M61" s="39" t="s">
        <v>58</v>
      </c>
      <c r="N61" s="235"/>
      <c r="O61" s="105" t="s">
        <v>90</v>
      </c>
      <c r="P61" s="106" t="s">
        <v>89</v>
      </c>
      <c r="Q61" s="115" t="s">
        <v>37</v>
      </c>
      <c r="R61" s="271" t="s">
        <v>67</v>
      </c>
      <c r="S61" s="272"/>
      <c r="T61" s="239" t="s">
        <v>88</v>
      </c>
      <c r="U61" s="240"/>
    </row>
    <row r="62" spans="7:21" ht="13.5" customHeight="1">
      <c r="G62" s="98">
        <v>12</v>
      </c>
      <c r="H62" s="97" t="s">
        <v>59</v>
      </c>
      <c r="I62" s="144">
        <v>0.6</v>
      </c>
      <c r="J62" s="18">
        <v>0.07</v>
      </c>
      <c r="K62" s="21">
        <v>0.03</v>
      </c>
      <c r="L62" s="119"/>
      <c r="M62" s="13"/>
      <c r="N62" s="235"/>
      <c r="O62" s="104"/>
      <c r="P62" s="110">
        <f>VLOOKUP($J$23,$G$62:$M$73,4)</f>
        <v>0</v>
      </c>
      <c r="Q62" s="116">
        <f>VLOOKUP($J$23,$G$62:$M$73,5)</f>
        <v>1.3</v>
      </c>
      <c r="R62" s="273">
        <f>VLOOKUP($J$23,$G$62:$M$73,6)</f>
        <v>0.8</v>
      </c>
      <c r="S62" s="274">
        <f>VLOOKUP($J$23,$G$62:$M$73,4)</f>
        <v>0</v>
      </c>
      <c r="T62" s="276">
        <f>VLOOKUP($J$23,$G$62:$M$73,7)</f>
        <v>0.8</v>
      </c>
      <c r="U62" s="275">
        <f>VLOOKUP($J$23,$G$62:$M$73,4)</f>
        <v>0</v>
      </c>
    </row>
    <row r="63" spans="7:14" ht="13.5" customHeight="1">
      <c r="G63" s="99">
        <v>20</v>
      </c>
      <c r="H63" s="35" t="s">
        <v>59</v>
      </c>
      <c r="I63" s="145">
        <v>1.6</v>
      </c>
      <c r="J63" s="146">
        <v>0.2</v>
      </c>
      <c r="K63" s="22">
        <v>0.08</v>
      </c>
      <c r="L63" s="120"/>
      <c r="M63" s="12"/>
      <c r="N63" s="235"/>
    </row>
    <row r="64" spans="7:14" ht="13.5" customHeight="1">
      <c r="G64" s="99">
        <v>32</v>
      </c>
      <c r="H64" s="35" t="s">
        <v>59</v>
      </c>
      <c r="I64" s="145">
        <v>3.7</v>
      </c>
      <c r="J64" s="146">
        <v>0.5</v>
      </c>
      <c r="K64" s="22">
        <v>0.2</v>
      </c>
      <c r="L64" s="120"/>
      <c r="M64" s="12"/>
      <c r="N64" s="235"/>
    </row>
    <row r="65" spans="7:14" ht="13.5" customHeight="1">
      <c r="G65" s="99">
        <v>36</v>
      </c>
      <c r="H65" s="35" t="s">
        <v>59</v>
      </c>
      <c r="I65" s="145">
        <v>4.5</v>
      </c>
      <c r="J65" s="146">
        <v>0.6</v>
      </c>
      <c r="K65" s="146">
        <v>0.22</v>
      </c>
      <c r="L65" s="120"/>
      <c r="M65" s="12"/>
      <c r="N65" s="235"/>
    </row>
    <row r="66" spans="7:14" ht="13.5" customHeight="1">
      <c r="G66" s="99">
        <v>40</v>
      </c>
      <c r="H66" s="35" t="s">
        <v>59</v>
      </c>
      <c r="I66" s="145">
        <v>5.5</v>
      </c>
      <c r="J66" s="146">
        <v>0.7</v>
      </c>
      <c r="K66" s="146">
        <v>0.27</v>
      </c>
      <c r="L66" s="120"/>
      <c r="M66" s="12"/>
      <c r="N66" s="235"/>
    </row>
    <row r="67" spans="7:14" ht="13.5" customHeight="1">
      <c r="G67" s="153">
        <v>44</v>
      </c>
      <c r="H67" s="35" t="s">
        <v>59</v>
      </c>
      <c r="I67" s="20"/>
      <c r="J67" s="146">
        <v>0.9</v>
      </c>
      <c r="K67" s="146">
        <v>0.31</v>
      </c>
      <c r="L67" s="120"/>
      <c r="M67" s="12"/>
      <c r="N67" s="235"/>
    </row>
    <row r="68" spans="7:14" ht="13.5" customHeight="1">
      <c r="G68" s="153">
        <v>53</v>
      </c>
      <c r="H68" s="154" t="s">
        <v>8</v>
      </c>
      <c r="I68" s="20"/>
      <c r="J68" s="146">
        <v>1.2</v>
      </c>
      <c r="K68" s="146">
        <v>0.44</v>
      </c>
      <c r="L68" s="120"/>
      <c r="M68" s="12"/>
      <c r="N68" s="235"/>
    </row>
    <row r="69" spans="7:14" ht="13.5" customHeight="1">
      <c r="G69" s="153">
        <v>60</v>
      </c>
      <c r="H69" s="197" t="s">
        <v>59</v>
      </c>
      <c r="I69" s="20"/>
      <c r="J69" s="159">
        <v>1.5</v>
      </c>
      <c r="K69" s="146">
        <v>0.54</v>
      </c>
      <c r="L69" s="164">
        <v>0.8</v>
      </c>
      <c r="M69" s="137">
        <v>0.8</v>
      </c>
      <c r="N69" s="235"/>
    </row>
    <row r="70" spans="6:14" ht="13.5" customHeight="1">
      <c r="F70" s="25" t="s">
        <v>70</v>
      </c>
      <c r="G70" s="99">
        <v>96</v>
      </c>
      <c r="H70" s="35" t="s">
        <v>59</v>
      </c>
      <c r="I70" s="44"/>
      <c r="J70" s="29"/>
      <c r="K70" s="147">
        <v>1.3</v>
      </c>
      <c r="L70" s="161">
        <v>0.8</v>
      </c>
      <c r="M70" s="137">
        <v>0.8</v>
      </c>
      <c r="N70" s="235"/>
    </row>
    <row r="71" spans="6:14" ht="13.5" customHeight="1">
      <c r="F71" s="25" t="s">
        <v>71</v>
      </c>
      <c r="G71" s="198">
        <v>128</v>
      </c>
      <c r="H71" s="197" t="s">
        <v>59</v>
      </c>
      <c r="I71" s="44"/>
      <c r="J71" s="29"/>
      <c r="K71" s="152">
        <v>2.1</v>
      </c>
      <c r="L71" s="161">
        <v>0.8</v>
      </c>
      <c r="M71" s="150">
        <v>0.8</v>
      </c>
      <c r="N71" s="235"/>
    </row>
    <row r="72" spans="6:14" ht="13.5" customHeight="1">
      <c r="F72" s="25" t="s">
        <v>69</v>
      </c>
      <c r="G72" s="198">
        <v>160</v>
      </c>
      <c r="H72" s="197" t="s">
        <v>59</v>
      </c>
      <c r="I72" s="44"/>
      <c r="J72" s="29"/>
      <c r="K72" s="42"/>
      <c r="L72" s="161">
        <v>0.8</v>
      </c>
      <c r="M72" s="138">
        <v>0.8</v>
      </c>
      <c r="N72" s="235"/>
    </row>
    <row r="73" spans="6:14" ht="13.5" customHeight="1">
      <c r="F73" s="25" t="s">
        <v>68</v>
      </c>
      <c r="G73" s="199">
        <v>224</v>
      </c>
      <c r="H73" s="101" t="s">
        <v>59</v>
      </c>
      <c r="I73" s="45"/>
      <c r="J73" s="19"/>
      <c r="K73" s="43"/>
      <c r="L73" s="165"/>
      <c r="M73" s="151">
        <v>0.8</v>
      </c>
      <c r="N73" s="236"/>
    </row>
    <row r="74" spans="7:8" ht="13.5" customHeight="1">
      <c r="G74" s="194"/>
      <c r="H74" s="196"/>
    </row>
    <row r="75" ht="13.5" customHeight="1"/>
    <row r="76" ht="13.5" customHeight="1"/>
    <row r="77" ht="13.5" customHeight="1"/>
  </sheetData>
  <sheetProtection/>
  <mergeCells count="46">
    <mergeCell ref="O29:U29"/>
    <mergeCell ref="O44:U44"/>
    <mergeCell ref="T45:U45"/>
    <mergeCell ref="O60:U60"/>
    <mergeCell ref="T50:U50"/>
    <mergeCell ref="R50:S50"/>
    <mergeCell ref="R46:S46"/>
    <mergeCell ref="T46:U46"/>
    <mergeCell ref="R61:S61"/>
    <mergeCell ref="R62:S62"/>
    <mergeCell ref="T30:U30"/>
    <mergeCell ref="T31:U31"/>
    <mergeCell ref="T61:U61"/>
    <mergeCell ref="T62:U62"/>
    <mergeCell ref="R30:S30"/>
    <mergeCell ref="R31:S31"/>
    <mergeCell ref="R45:S45"/>
    <mergeCell ref="O48:U48"/>
    <mergeCell ref="N60:N73"/>
    <mergeCell ref="N29:N42"/>
    <mergeCell ref="G30:H30"/>
    <mergeCell ref="G45:H45"/>
    <mergeCell ref="G61:H61"/>
    <mergeCell ref="G60:M60"/>
    <mergeCell ref="G44:M44"/>
    <mergeCell ref="G29:M29"/>
    <mergeCell ref="N44:N58"/>
    <mergeCell ref="Q9:Q10"/>
    <mergeCell ref="L11:M11"/>
    <mergeCell ref="H17:H19"/>
    <mergeCell ref="I17:I19"/>
    <mergeCell ref="C17:F17"/>
    <mergeCell ref="I21:I23"/>
    <mergeCell ref="E9:F9"/>
    <mergeCell ref="H9:I10"/>
    <mergeCell ref="H20:H23"/>
    <mergeCell ref="C41:E41"/>
    <mergeCell ref="L19:M19"/>
    <mergeCell ref="L23:M23"/>
    <mergeCell ref="L18:M18"/>
    <mergeCell ref="E19:F19"/>
    <mergeCell ref="E18:F18"/>
    <mergeCell ref="C27:L27"/>
    <mergeCell ref="C29:E29"/>
    <mergeCell ref="L22:M22"/>
    <mergeCell ref="E25:F25"/>
  </mergeCells>
  <printOptions/>
  <pageMargins left="0.75" right="0.75" top="1" bottom="1" header="0.512" footer="0.512"/>
  <pageSetup horizontalDpi="300" verticalDpi="3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7"/>
  <sheetViews>
    <sheetView showZeros="0" zoomScalePageLayoutView="0" workbookViewId="0" topLeftCell="A1">
      <selection activeCell="Q38" sqref="Q38"/>
    </sheetView>
  </sheetViews>
  <sheetFormatPr defaultColWidth="9.00390625" defaultRowHeight="13.5"/>
  <cols>
    <col min="1" max="1" width="3.25390625" style="0" customWidth="1"/>
    <col min="2" max="2" width="4.50390625" style="0" customWidth="1"/>
    <col min="3" max="3" width="11.875" style="0" customWidth="1"/>
    <col min="4" max="4" width="6.875" style="0" customWidth="1"/>
    <col min="5" max="5" width="5.50390625" style="0" customWidth="1"/>
    <col min="6" max="6" width="6.00390625" style="0" customWidth="1"/>
    <col min="7" max="7" width="4.50390625" style="0" customWidth="1"/>
    <col min="8" max="8" width="7.875" style="0" customWidth="1"/>
    <col min="9" max="9" width="7.375" style="0" customWidth="1"/>
    <col min="10" max="11" width="6.875" style="0" customWidth="1"/>
    <col min="12" max="16" width="8.75390625" style="0" customWidth="1"/>
    <col min="18" max="18" width="4.25390625" style="0" customWidth="1"/>
    <col min="19" max="19" width="5.375" style="0" customWidth="1"/>
    <col min="20" max="20" width="3.25390625" style="0" customWidth="1"/>
    <col min="21" max="21" width="6.875" style="0" customWidth="1"/>
  </cols>
  <sheetData>
    <row r="1" spans="2:17" ht="20.25" customHeight="1">
      <c r="B1" s="47" t="s">
        <v>105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5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17" ht="15" customHeight="1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15" customHeight="1" thickBot="1">
      <c r="B4" s="48"/>
      <c r="C4" s="48" t="s">
        <v>41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2:17" ht="15" customHeight="1" thickBot="1">
      <c r="B5" s="48"/>
      <c r="C5" s="48" t="s">
        <v>2</v>
      </c>
      <c r="D5" s="1">
        <v>5</v>
      </c>
      <c r="E5" s="48" t="s">
        <v>3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17" ht="15" customHeight="1" thickBot="1">
      <c r="B6" s="48"/>
      <c r="C6" s="48" t="s">
        <v>1</v>
      </c>
      <c r="D6" s="48"/>
      <c r="E6" s="74">
        <f>IF(D5=1,1,IF(D5&lt;5,2,IF(D5&lt;11,3,IF(D5&lt;16,4,0))))</f>
        <v>3</v>
      </c>
      <c r="F6" s="48" t="s">
        <v>4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2:17" ht="15" customHeight="1" thickBot="1">
      <c r="B7" s="48"/>
      <c r="C7" s="48" t="s">
        <v>72</v>
      </c>
      <c r="D7" s="1">
        <v>4</v>
      </c>
      <c r="E7" s="48" t="s">
        <v>73</v>
      </c>
      <c r="F7" s="48" t="s">
        <v>86</v>
      </c>
      <c r="G7" s="48"/>
      <c r="H7" s="48"/>
      <c r="I7" s="74">
        <f>ROUND(42*D7^0.33,0)</f>
        <v>66</v>
      </c>
      <c r="J7" s="51" t="s">
        <v>164</v>
      </c>
      <c r="K7" s="48"/>
      <c r="L7" s="48"/>
      <c r="M7" s="48"/>
      <c r="N7" s="48"/>
      <c r="O7" s="1"/>
      <c r="P7" s="48" t="s">
        <v>43</v>
      </c>
      <c r="Q7" s="48"/>
    </row>
    <row r="8" spans="2:17" ht="15" customHeight="1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2:17" ht="15" customHeight="1">
      <c r="B9" s="2"/>
      <c r="C9" s="3" t="s">
        <v>5</v>
      </c>
      <c r="D9" s="3" t="s">
        <v>6</v>
      </c>
      <c r="E9" s="229" t="s">
        <v>7</v>
      </c>
      <c r="F9" s="230"/>
      <c r="G9" s="48"/>
      <c r="H9" s="248" t="s">
        <v>25</v>
      </c>
      <c r="I9" s="249"/>
      <c r="J9" s="53" t="s">
        <v>13</v>
      </c>
      <c r="K9" s="54" t="s">
        <v>6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246" t="s">
        <v>44</v>
      </c>
    </row>
    <row r="10" spans="2:17" ht="15" customHeight="1" thickBot="1">
      <c r="B10" s="3" t="s">
        <v>158</v>
      </c>
      <c r="C10" s="2" t="s">
        <v>12</v>
      </c>
      <c r="D10" s="3">
        <v>13</v>
      </c>
      <c r="E10" s="5">
        <v>12</v>
      </c>
      <c r="F10" s="4" t="s">
        <v>139</v>
      </c>
      <c r="G10" s="48"/>
      <c r="H10" s="250"/>
      <c r="I10" s="251"/>
      <c r="J10" s="56" t="s">
        <v>139</v>
      </c>
      <c r="K10" s="57" t="s">
        <v>140</v>
      </c>
      <c r="L10" s="58" t="s">
        <v>141</v>
      </c>
      <c r="M10" s="58" t="s">
        <v>142</v>
      </c>
      <c r="N10" s="57" t="s">
        <v>142</v>
      </c>
      <c r="O10" s="57" t="s">
        <v>142</v>
      </c>
      <c r="P10" s="59" t="s">
        <v>142</v>
      </c>
      <c r="Q10" s="247"/>
    </row>
    <row r="11" spans="2:17" ht="15" customHeight="1" thickBot="1">
      <c r="B11" s="3" t="s">
        <v>165</v>
      </c>
      <c r="C11" s="2" t="s">
        <v>28</v>
      </c>
      <c r="D11" s="3">
        <v>13</v>
      </c>
      <c r="E11" s="5">
        <v>8</v>
      </c>
      <c r="F11" s="4" t="s">
        <v>139</v>
      </c>
      <c r="G11" s="48"/>
      <c r="H11" s="86" t="s">
        <v>23</v>
      </c>
      <c r="I11" s="52" t="s">
        <v>158</v>
      </c>
      <c r="J11" s="1">
        <v>12</v>
      </c>
      <c r="K11" s="1">
        <v>13</v>
      </c>
      <c r="L11" s="244" t="s">
        <v>26</v>
      </c>
      <c r="M11" s="245"/>
      <c r="N11" s="1">
        <v>0.8</v>
      </c>
      <c r="O11" s="70"/>
      <c r="P11" s="60">
        <f aca="true" t="shared" si="0" ref="P11:P25">+N11+O11</f>
        <v>0.8</v>
      </c>
      <c r="Q11" s="60" t="s">
        <v>50</v>
      </c>
    </row>
    <row r="12" spans="2:21" ht="15" customHeight="1" thickBot="1">
      <c r="B12" s="3" t="s">
        <v>143</v>
      </c>
      <c r="C12" s="2" t="s">
        <v>29</v>
      </c>
      <c r="D12" s="3">
        <v>13</v>
      </c>
      <c r="E12" s="5">
        <v>12</v>
      </c>
      <c r="F12" s="4" t="s">
        <v>139</v>
      </c>
      <c r="G12" s="48"/>
      <c r="H12" s="87" t="s">
        <v>24</v>
      </c>
      <c r="I12" s="88" t="s">
        <v>159</v>
      </c>
      <c r="J12" s="1">
        <v>12</v>
      </c>
      <c r="K12" s="1">
        <v>13</v>
      </c>
      <c r="L12" s="68">
        <f aca="true" t="shared" si="1" ref="L12:L17">IF(+U12&gt;50,ROUND(+U12,-1),+U12)</f>
        <v>230</v>
      </c>
      <c r="M12" s="1">
        <v>5</v>
      </c>
      <c r="N12" s="68">
        <f aca="true" t="shared" si="2" ref="N12:N17">ROUND(+L12/1000*M12,2)</f>
        <v>1.15</v>
      </c>
      <c r="O12" s="1">
        <v>1</v>
      </c>
      <c r="P12" s="61">
        <f t="shared" si="0"/>
        <v>2.15</v>
      </c>
      <c r="Q12" s="61"/>
      <c r="R12" t="s">
        <v>166</v>
      </c>
      <c r="S12">
        <f aca="true" t="shared" si="3" ref="S12:S17">IF(J12&gt;0,ROUND(+J12/1000/60*4/(PI()*(K12/1000)^2),2),0)</f>
        <v>1.51</v>
      </c>
      <c r="T12" t="s">
        <v>167</v>
      </c>
      <c r="U12">
        <f aca="true" t="shared" si="4" ref="U12:U17">IF(J12&gt;0,ROUND(((0.0126+(0.01739-0.1087*+K12/1000)/S12^0.5)*((+S12^2/19.6)/(+K12/1000)))*1000,0),0)</f>
        <v>229</v>
      </c>
    </row>
    <row r="13" spans="2:21" ht="15" customHeight="1" thickBot="1">
      <c r="B13" s="3" t="s">
        <v>168</v>
      </c>
      <c r="C13" s="2"/>
      <c r="D13" s="2"/>
      <c r="E13" s="5"/>
      <c r="F13" s="4" t="s">
        <v>139</v>
      </c>
      <c r="G13" s="48"/>
      <c r="H13" s="87" t="s">
        <v>24</v>
      </c>
      <c r="I13" s="88" t="s">
        <v>145</v>
      </c>
      <c r="J13" s="1">
        <v>32</v>
      </c>
      <c r="K13" s="1">
        <v>20</v>
      </c>
      <c r="L13" s="68">
        <f t="shared" si="1"/>
        <v>180</v>
      </c>
      <c r="M13" s="1">
        <v>10</v>
      </c>
      <c r="N13" s="68">
        <f t="shared" si="2"/>
        <v>1.8</v>
      </c>
      <c r="O13" s="1">
        <v>3</v>
      </c>
      <c r="P13" s="61">
        <f t="shared" si="0"/>
        <v>4.8</v>
      </c>
      <c r="Q13" s="61"/>
      <c r="R13" t="s">
        <v>166</v>
      </c>
      <c r="S13">
        <f t="shared" si="3"/>
        <v>1.7</v>
      </c>
      <c r="T13" t="s">
        <v>167</v>
      </c>
      <c r="U13">
        <f t="shared" si="4"/>
        <v>179</v>
      </c>
    </row>
    <row r="14" spans="2:30" ht="15" customHeight="1" thickBot="1">
      <c r="B14" s="3"/>
      <c r="C14" s="2"/>
      <c r="D14" s="2"/>
      <c r="E14" s="5"/>
      <c r="F14" s="4"/>
      <c r="G14" s="48"/>
      <c r="H14" s="87"/>
      <c r="I14" s="89"/>
      <c r="J14" s="1"/>
      <c r="K14" s="1"/>
      <c r="L14" s="68">
        <f t="shared" si="1"/>
        <v>0</v>
      </c>
      <c r="M14" s="1"/>
      <c r="N14" s="68">
        <f t="shared" si="2"/>
        <v>0</v>
      </c>
      <c r="O14" s="1"/>
      <c r="P14" s="62">
        <f t="shared" si="0"/>
        <v>0</v>
      </c>
      <c r="Q14" s="62"/>
      <c r="R14" t="s">
        <v>166</v>
      </c>
      <c r="S14">
        <f t="shared" si="3"/>
        <v>0</v>
      </c>
      <c r="T14" t="s">
        <v>167</v>
      </c>
      <c r="U14">
        <f t="shared" si="4"/>
        <v>0</v>
      </c>
      <c r="AD14" s="24"/>
    </row>
    <row r="15" spans="2:21" ht="15" customHeight="1" thickBot="1">
      <c r="B15" s="49"/>
      <c r="C15" s="50"/>
      <c r="D15" s="3" t="s">
        <v>22</v>
      </c>
      <c r="E15" s="5">
        <f>SUM(E10:E14)</f>
        <v>32</v>
      </c>
      <c r="F15" s="4" t="s">
        <v>139</v>
      </c>
      <c r="G15" s="48"/>
      <c r="H15" s="87"/>
      <c r="I15" s="90"/>
      <c r="J15" s="1"/>
      <c r="K15" s="1"/>
      <c r="L15" s="68">
        <f t="shared" si="1"/>
        <v>0</v>
      </c>
      <c r="M15" s="1"/>
      <c r="N15" s="68">
        <f t="shared" si="2"/>
        <v>0</v>
      </c>
      <c r="O15" s="1"/>
      <c r="P15" s="62">
        <f t="shared" si="0"/>
        <v>0</v>
      </c>
      <c r="Q15" s="62"/>
      <c r="R15" t="s">
        <v>166</v>
      </c>
      <c r="S15">
        <f t="shared" si="3"/>
        <v>0</v>
      </c>
      <c r="T15" t="s">
        <v>167</v>
      </c>
      <c r="U15">
        <f t="shared" si="4"/>
        <v>0</v>
      </c>
    </row>
    <row r="16" spans="2:21" ht="15" customHeight="1" thickBot="1">
      <c r="B16" s="48"/>
      <c r="C16" s="48"/>
      <c r="D16" s="48"/>
      <c r="E16" s="48"/>
      <c r="F16" s="48"/>
      <c r="G16" s="48"/>
      <c r="H16" s="87"/>
      <c r="I16" s="90"/>
      <c r="J16" s="1"/>
      <c r="K16" s="1"/>
      <c r="L16" s="68">
        <f t="shared" si="1"/>
        <v>0</v>
      </c>
      <c r="M16" s="1"/>
      <c r="N16" s="68">
        <f t="shared" si="2"/>
        <v>0</v>
      </c>
      <c r="O16" s="1"/>
      <c r="P16" s="62">
        <f t="shared" si="0"/>
        <v>0</v>
      </c>
      <c r="Q16" s="62"/>
      <c r="R16" t="s">
        <v>166</v>
      </c>
      <c r="S16">
        <f t="shared" si="3"/>
        <v>0</v>
      </c>
      <c r="T16" t="s">
        <v>167</v>
      </c>
      <c r="U16">
        <f t="shared" si="4"/>
        <v>0</v>
      </c>
    </row>
    <row r="17" spans="1:21" ht="15" customHeight="1" thickBot="1">
      <c r="A17" s="11"/>
      <c r="B17" s="52"/>
      <c r="C17" s="48"/>
      <c r="D17" s="48"/>
      <c r="E17" s="48"/>
      <c r="F17" s="48"/>
      <c r="G17" s="48"/>
      <c r="H17" s="252" t="s">
        <v>24</v>
      </c>
      <c r="I17" s="254" t="s">
        <v>160</v>
      </c>
      <c r="J17" s="62">
        <f>+E15</f>
        <v>32</v>
      </c>
      <c r="K17" s="1">
        <v>20</v>
      </c>
      <c r="L17" s="68">
        <f t="shared" si="1"/>
        <v>180</v>
      </c>
      <c r="M17" s="1">
        <v>3</v>
      </c>
      <c r="N17" s="69">
        <f t="shared" si="2"/>
        <v>0.54</v>
      </c>
      <c r="O17" s="1">
        <v>0</v>
      </c>
      <c r="P17" s="62">
        <f t="shared" si="0"/>
        <v>0.54</v>
      </c>
      <c r="Q17" s="62"/>
      <c r="R17" t="s">
        <v>39</v>
      </c>
      <c r="S17">
        <f t="shared" si="3"/>
        <v>1.7</v>
      </c>
      <c r="T17" t="s">
        <v>21</v>
      </c>
      <c r="U17">
        <f t="shared" si="4"/>
        <v>179</v>
      </c>
    </row>
    <row r="18" spans="1:17" ht="15" customHeight="1" thickBot="1">
      <c r="A18" s="11"/>
      <c r="B18" s="52"/>
      <c r="C18" s="48"/>
      <c r="D18" s="48"/>
      <c r="E18" s="48"/>
      <c r="F18" s="48"/>
      <c r="G18" s="48"/>
      <c r="H18" s="253"/>
      <c r="I18" s="255"/>
      <c r="J18" s="62">
        <f>+J17</f>
        <v>32</v>
      </c>
      <c r="K18" s="1">
        <v>13</v>
      </c>
      <c r="L18" s="264" t="s">
        <v>118</v>
      </c>
      <c r="M18" s="265"/>
      <c r="N18" s="122">
        <f>IF(K18=13,O33,IF(K18=20,P33,(IF(K18=25,Q33,""))))</f>
        <v>3.9</v>
      </c>
      <c r="O18" s="71"/>
      <c r="P18" s="62">
        <f t="shared" si="0"/>
        <v>3.9</v>
      </c>
      <c r="Q18" s="62" t="s">
        <v>51</v>
      </c>
    </row>
    <row r="19" spans="1:17" ht="15" customHeight="1" thickBot="1">
      <c r="A19" s="11"/>
      <c r="B19" s="51"/>
      <c r="C19" s="48"/>
      <c r="D19" s="48"/>
      <c r="E19" s="48"/>
      <c r="F19" s="48"/>
      <c r="G19" s="48"/>
      <c r="H19" s="269"/>
      <c r="I19" s="270"/>
      <c r="J19" s="62">
        <f>+J17</f>
        <v>32</v>
      </c>
      <c r="K19" s="1">
        <v>20</v>
      </c>
      <c r="L19" s="280" t="s">
        <v>19</v>
      </c>
      <c r="M19" s="281"/>
      <c r="N19" s="122">
        <f>IF(K19=13,O55,IF(K19=20,P55,(IF(K19=25,Q55,""))))</f>
        <v>1.4</v>
      </c>
      <c r="O19" s="71"/>
      <c r="P19" s="62">
        <f t="shared" si="0"/>
        <v>1.4</v>
      </c>
      <c r="Q19" s="62" t="s">
        <v>50</v>
      </c>
    </row>
    <row r="20" spans="1:21" ht="15" customHeight="1" thickBot="1">
      <c r="A20" s="11"/>
      <c r="B20" s="51"/>
      <c r="C20" s="51"/>
      <c r="D20" s="51"/>
      <c r="E20" s="51"/>
      <c r="F20" s="51"/>
      <c r="G20" s="48"/>
      <c r="H20" s="252" t="s">
        <v>52</v>
      </c>
      <c r="I20" s="91" t="s">
        <v>124</v>
      </c>
      <c r="J20" s="1">
        <f>+I7</f>
        <v>66</v>
      </c>
      <c r="K20" s="1">
        <v>40</v>
      </c>
      <c r="L20" s="68">
        <f>IF(+U20&gt;50,ROUND(+U20,-1),+U20)</f>
        <v>26</v>
      </c>
      <c r="M20" s="1">
        <v>3</v>
      </c>
      <c r="N20" s="68">
        <f>ROUND(+L20/1000*M20,2)</f>
        <v>0.08</v>
      </c>
      <c r="O20" s="1">
        <v>0</v>
      </c>
      <c r="P20" s="62">
        <f t="shared" si="0"/>
        <v>0.08</v>
      </c>
      <c r="Q20" s="62"/>
      <c r="R20" t="s">
        <v>39</v>
      </c>
      <c r="S20">
        <f>IF(J20&gt;0,ROUND(+J20/1000/60*4/(PI()*(K20/1000)^2),2),0)</f>
        <v>0.88</v>
      </c>
      <c r="T20" t="s">
        <v>21</v>
      </c>
      <c r="U20">
        <f>IF(J20&gt;0,ROUND(((0.0126+(0.01739-0.1087*+K20/1000)/S20^0.5)*((+S20^2/19.6)/(+K20/1000)))*1000,0),0)</f>
        <v>26</v>
      </c>
    </row>
    <row r="21" spans="2:21" ht="15" customHeight="1" thickBot="1">
      <c r="B21" s="48"/>
      <c r="C21" s="48"/>
      <c r="D21" s="48"/>
      <c r="E21" s="48"/>
      <c r="F21" s="48"/>
      <c r="G21" s="48"/>
      <c r="H21" s="253"/>
      <c r="I21" s="254" t="s">
        <v>127</v>
      </c>
      <c r="J21" s="61">
        <f>+J20</f>
        <v>66</v>
      </c>
      <c r="K21" s="1">
        <v>40</v>
      </c>
      <c r="L21" s="68">
        <f>IF(+U21&gt;50,ROUND(+U21,-1),+U21)</f>
        <v>26</v>
      </c>
      <c r="M21" s="1">
        <v>10</v>
      </c>
      <c r="N21" s="69">
        <f>ROUND(+L21/1000*M21,2)</f>
        <v>0.26</v>
      </c>
      <c r="O21" s="1">
        <v>0.6</v>
      </c>
      <c r="P21" s="62">
        <f t="shared" si="0"/>
        <v>0.86</v>
      </c>
      <c r="Q21" s="62"/>
      <c r="R21" t="s">
        <v>39</v>
      </c>
      <c r="S21">
        <f>IF(J21&gt;0,ROUND(+J21/1000/60*4/(PI()*(K21/1000)^2),2),0)</f>
        <v>0.88</v>
      </c>
      <c r="T21" t="s">
        <v>21</v>
      </c>
      <c r="U21">
        <f>IF(J21&gt;0,ROUND(((0.0126+(0.01739-0.1087*+K21/1000)/S21^0.5)*((+S21^2/19.6)/(+K21/1000)))*1000,0),0)</f>
        <v>26</v>
      </c>
    </row>
    <row r="22" spans="2:17" ht="15" customHeight="1" thickBot="1">
      <c r="B22" s="48"/>
      <c r="C22" s="48"/>
      <c r="D22" s="48"/>
      <c r="E22" s="48"/>
      <c r="F22" s="48"/>
      <c r="G22" s="48"/>
      <c r="H22" s="253"/>
      <c r="I22" s="255"/>
      <c r="J22" s="61">
        <f>+J20</f>
        <v>66</v>
      </c>
      <c r="K22" s="1">
        <v>40</v>
      </c>
      <c r="L22" s="231" t="s">
        <v>110</v>
      </c>
      <c r="M22" s="232"/>
      <c r="N22" s="123">
        <f>IF(K22=20,P59,IF(K22=25,Q59,(IF(K22=40,R59,IF(K22=50,T59,"")))))</f>
        <v>1</v>
      </c>
      <c r="O22" s="71"/>
      <c r="P22" s="62">
        <f t="shared" si="0"/>
        <v>1</v>
      </c>
      <c r="Q22" s="62" t="s">
        <v>50</v>
      </c>
    </row>
    <row r="23" spans="2:17" ht="15" customHeight="1" thickBot="1">
      <c r="B23" s="48"/>
      <c r="C23" s="48"/>
      <c r="D23" s="48"/>
      <c r="E23" s="48"/>
      <c r="F23" s="48"/>
      <c r="G23" s="48"/>
      <c r="H23" s="253"/>
      <c r="I23" s="255"/>
      <c r="J23" s="61">
        <f>+J20</f>
        <v>66</v>
      </c>
      <c r="K23" s="1">
        <v>40</v>
      </c>
      <c r="L23" s="264" t="s">
        <v>20</v>
      </c>
      <c r="M23" s="282"/>
      <c r="N23" s="123">
        <f>IF(K23=20,P37,IF(K23=25,Q37,(IF(K23=40,R37,IF(K23=50,T37,"")))))</f>
        <v>0.5</v>
      </c>
      <c r="O23" s="71"/>
      <c r="P23" s="62">
        <f t="shared" si="0"/>
        <v>0.5</v>
      </c>
      <c r="Q23" s="62"/>
    </row>
    <row r="24" spans="2:17" ht="15" customHeight="1" thickBot="1">
      <c r="B24" s="48"/>
      <c r="C24" s="48"/>
      <c r="D24" s="48"/>
      <c r="E24" s="48"/>
      <c r="F24" s="48"/>
      <c r="G24" s="48"/>
      <c r="H24" s="253"/>
      <c r="I24" s="255"/>
      <c r="J24" s="61">
        <f>+J20</f>
        <v>66</v>
      </c>
      <c r="K24" s="1">
        <v>40</v>
      </c>
      <c r="L24" s="231" t="s">
        <v>109</v>
      </c>
      <c r="M24" s="232"/>
      <c r="N24" s="123">
        <f>IF(K24=20,P59,IF(K24=25,Q59,(IF(K24=40,R59,IF(K24=50,T59,"")))))</f>
        <v>1</v>
      </c>
      <c r="O24" s="71"/>
      <c r="P24" s="62">
        <f t="shared" si="0"/>
        <v>1</v>
      </c>
      <c r="Q24" s="62" t="s">
        <v>50</v>
      </c>
    </row>
    <row r="25" spans="2:17" ht="15" customHeight="1" thickBot="1">
      <c r="B25" s="48"/>
      <c r="C25" s="48"/>
      <c r="D25" s="48"/>
      <c r="E25" s="48"/>
      <c r="F25" s="48"/>
      <c r="G25" s="48"/>
      <c r="H25" s="250"/>
      <c r="I25" s="251"/>
      <c r="J25" s="75">
        <f>+J20</f>
        <v>66</v>
      </c>
      <c r="K25" s="1">
        <v>40</v>
      </c>
      <c r="L25" s="242" t="s">
        <v>40</v>
      </c>
      <c r="M25" s="243"/>
      <c r="N25" s="111">
        <f>IF(K25=20,P78,IF(K25=25,Q78,(IF(K25=40,R78,IF(K25=50,T78,"")))))</f>
        <v>0.8</v>
      </c>
      <c r="O25" s="72"/>
      <c r="P25" s="63">
        <f t="shared" si="0"/>
        <v>0.8</v>
      </c>
      <c r="Q25" s="63" t="s">
        <v>49</v>
      </c>
    </row>
    <row r="26" spans="2:17" ht="15" customHeight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64" t="s">
        <v>22</v>
      </c>
      <c r="P26" s="10">
        <f>SUM(P11:P25)</f>
        <v>17.830000000000002</v>
      </c>
      <c r="Q26" s="126" t="s">
        <v>107</v>
      </c>
    </row>
    <row r="27" spans="2:17" ht="15" customHeight="1">
      <c r="B27" s="48"/>
      <c r="C27" s="124" t="s">
        <v>106</v>
      </c>
      <c r="D27" s="48"/>
      <c r="E27" s="256" t="str">
        <f>IF(K23=20,D52,IF(K23=25,D53,IF(K23=40,D54,IF(K23=50,D55,""))))</f>
        <v>OK</v>
      </c>
      <c r="F27" s="256"/>
      <c r="G27" s="48"/>
      <c r="H27" s="48"/>
      <c r="I27" s="48"/>
      <c r="J27" s="48"/>
      <c r="K27" s="48"/>
      <c r="L27" s="65" t="s">
        <v>42</v>
      </c>
      <c r="M27" s="66" t="str">
        <f>IF((20.4-P26)&gt;0,"＞","＜")</f>
        <v>＞</v>
      </c>
      <c r="N27" s="48" t="str">
        <f>+P26/10&amp;+"ｋｇｆ/cm2"</f>
        <v>1.783ｋｇｆ/cm2</v>
      </c>
      <c r="O27" s="48"/>
      <c r="P27" s="67" t="str">
        <f>IF((20.4-P26)&gt;0,"OK","OUT")</f>
        <v>OK</v>
      </c>
      <c r="Q27" s="125" t="str">
        <f>IF(S21&lt;2,"OK","OUT")</f>
        <v>OK</v>
      </c>
    </row>
    <row r="29" spans="3:12" ht="14.25">
      <c r="C29" s="233" t="s">
        <v>79</v>
      </c>
      <c r="D29" s="233"/>
      <c r="E29" s="233"/>
      <c r="F29" s="233"/>
      <c r="G29" s="233"/>
      <c r="H29" s="233"/>
      <c r="I29" s="233"/>
      <c r="J29" s="233"/>
      <c r="K29" s="233"/>
      <c r="L29" s="233"/>
    </row>
    <row r="31" spans="3:21" ht="13.5" customHeight="1">
      <c r="C31" s="241" t="s">
        <v>75</v>
      </c>
      <c r="D31" s="241"/>
      <c r="E31" s="241"/>
      <c r="G31" s="229" t="s">
        <v>34</v>
      </c>
      <c r="H31" s="237"/>
      <c r="I31" s="237"/>
      <c r="J31" s="237"/>
      <c r="K31" s="237"/>
      <c r="L31" s="237"/>
      <c r="M31" s="230"/>
      <c r="N31" s="234" t="s">
        <v>46</v>
      </c>
      <c r="O31" s="238" t="s">
        <v>111</v>
      </c>
      <c r="P31" s="239"/>
      <c r="Q31" s="239"/>
      <c r="R31" s="239"/>
      <c r="S31" s="239"/>
      <c r="T31" s="239"/>
      <c r="U31" s="240"/>
    </row>
    <row r="32" spans="3:21" ht="13.5" customHeight="1">
      <c r="C32" s="3" t="s">
        <v>74</v>
      </c>
      <c r="D32" s="2">
        <v>2</v>
      </c>
      <c r="E32" s="2" t="s">
        <v>3</v>
      </c>
      <c r="G32" s="229"/>
      <c r="H32" s="230"/>
      <c r="I32" s="5" t="s">
        <v>35</v>
      </c>
      <c r="J32" s="17" t="s">
        <v>36</v>
      </c>
      <c r="K32" s="36" t="s">
        <v>37</v>
      </c>
      <c r="L32" s="112" t="s">
        <v>67</v>
      </c>
      <c r="M32" s="39" t="s">
        <v>58</v>
      </c>
      <c r="N32" s="235"/>
      <c r="O32" s="105" t="s">
        <v>90</v>
      </c>
      <c r="P32" s="106" t="s">
        <v>89</v>
      </c>
      <c r="Q32" s="115" t="s">
        <v>37</v>
      </c>
      <c r="R32" s="271" t="s">
        <v>67</v>
      </c>
      <c r="S32" s="272"/>
      <c r="T32" s="239" t="s">
        <v>88</v>
      </c>
      <c r="U32" s="240"/>
    </row>
    <row r="33" spans="3:21" ht="13.5" customHeight="1">
      <c r="C33" s="3" t="s">
        <v>76</v>
      </c>
      <c r="D33" s="2">
        <v>3</v>
      </c>
      <c r="E33" s="2" t="s">
        <v>3</v>
      </c>
      <c r="G33" s="14">
        <v>12</v>
      </c>
      <c r="H33" s="14" t="s">
        <v>59</v>
      </c>
      <c r="I33" s="130">
        <v>0.7</v>
      </c>
      <c r="J33" s="7">
        <v>0.18</v>
      </c>
      <c r="K33" s="13">
        <v>0.14</v>
      </c>
      <c r="L33" s="37"/>
      <c r="M33" s="13"/>
      <c r="N33" s="235"/>
      <c r="O33" s="104">
        <f>VLOOKUP($J$18,$G$33:$M$51,3)</f>
        <v>3.9</v>
      </c>
      <c r="P33" s="110">
        <f>VLOOKUP($J$18,$G$33:$M$51,4)</f>
        <v>1.2</v>
      </c>
      <c r="Q33" s="116">
        <f>VLOOKUP($J$18,$G$33:$M$51,5)</f>
        <v>0.8</v>
      </c>
      <c r="R33" s="273"/>
      <c r="S33" s="274"/>
      <c r="T33" s="273"/>
      <c r="U33" s="275"/>
    </row>
    <row r="34" spans="3:14" ht="13.5" customHeight="1">
      <c r="C34" s="3" t="s">
        <v>77</v>
      </c>
      <c r="D34" s="2">
        <v>4</v>
      </c>
      <c r="E34" s="2" t="s">
        <v>3</v>
      </c>
      <c r="G34" s="15">
        <v>20</v>
      </c>
      <c r="H34" s="15" t="s">
        <v>59</v>
      </c>
      <c r="I34" s="131">
        <v>1.7</v>
      </c>
      <c r="J34" s="134">
        <v>0.6</v>
      </c>
      <c r="K34" s="12">
        <v>0.3</v>
      </c>
      <c r="L34" s="38"/>
      <c r="M34" s="12"/>
      <c r="N34" s="235"/>
    </row>
    <row r="35" spans="3:21" ht="13.5" customHeight="1">
      <c r="C35" s="3" t="s">
        <v>78</v>
      </c>
      <c r="D35" s="2">
        <v>5</v>
      </c>
      <c r="E35" s="2" t="s">
        <v>3</v>
      </c>
      <c r="G35" s="15">
        <v>32</v>
      </c>
      <c r="H35" s="15" t="s">
        <v>59</v>
      </c>
      <c r="I35" s="131">
        <v>3.9</v>
      </c>
      <c r="J35" s="134">
        <v>1.2</v>
      </c>
      <c r="K35" s="12">
        <v>0.8</v>
      </c>
      <c r="L35" s="38"/>
      <c r="M35" s="12"/>
      <c r="N35" s="235"/>
      <c r="O35" s="238" t="s">
        <v>112</v>
      </c>
      <c r="P35" s="239"/>
      <c r="Q35" s="239"/>
      <c r="R35" s="239"/>
      <c r="S35" s="239"/>
      <c r="T35" s="239"/>
      <c r="U35" s="240"/>
    </row>
    <row r="36" spans="7:21" ht="13.5" customHeight="1">
      <c r="G36" s="15">
        <v>36</v>
      </c>
      <c r="H36" s="15" t="s">
        <v>59</v>
      </c>
      <c r="I36" s="132">
        <v>4.8</v>
      </c>
      <c r="J36" s="134">
        <v>1.5</v>
      </c>
      <c r="K36" s="140">
        <v>1.1</v>
      </c>
      <c r="L36" s="38"/>
      <c r="M36" s="12"/>
      <c r="N36" s="235"/>
      <c r="O36" s="105" t="s">
        <v>90</v>
      </c>
      <c r="P36" s="106" t="s">
        <v>89</v>
      </c>
      <c r="Q36" s="115" t="s">
        <v>37</v>
      </c>
      <c r="R36" s="271" t="s">
        <v>67</v>
      </c>
      <c r="S36" s="272"/>
      <c r="T36" s="239" t="s">
        <v>88</v>
      </c>
      <c r="U36" s="240"/>
    </row>
    <row r="37" spans="7:21" ht="13.5" customHeight="1">
      <c r="G37" s="15">
        <v>40</v>
      </c>
      <c r="H37" s="15" t="s">
        <v>59</v>
      </c>
      <c r="I37" s="132">
        <v>5.9</v>
      </c>
      <c r="J37" s="134">
        <v>1.9</v>
      </c>
      <c r="K37" s="140">
        <v>1.3</v>
      </c>
      <c r="L37" s="38"/>
      <c r="M37" s="12"/>
      <c r="N37" s="235"/>
      <c r="O37" s="104"/>
      <c r="P37" s="110">
        <f>VLOOKUP($J$23,$G$33:$M$51,4)</f>
        <v>4.5</v>
      </c>
      <c r="Q37" s="116">
        <f>VLOOKUP($J$23,$G$33:$M$51,5)</f>
        <v>3.2</v>
      </c>
      <c r="R37" s="273">
        <f>VLOOKUP($J$23,$G$33:$M$51,6)</f>
        <v>0.5</v>
      </c>
      <c r="S37" s="274">
        <f>VLOOKUP($J$18,$G$33:$M$51,5)</f>
        <v>0.8</v>
      </c>
      <c r="T37" s="273">
        <f>VLOOKUP($J$23,$G$33:$M$51,7)</f>
        <v>0.18</v>
      </c>
      <c r="U37" s="275">
        <f>VLOOKUP($J$18,$G$33:$M$51,5)</f>
        <v>0.8</v>
      </c>
    </row>
    <row r="38" spans="7:21" ht="13.5" customHeight="1">
      <c r="G38" s="28">
        <v>44</v>
      </c>
      <c r="H38" s="15" t="s">
        <v>59</v>
      </c>
      <c r="I38" s="133">
        <v>7</v>
      </c>
      <c r="J38" s="135">
        <v>2.2</v>
      </c>
      <c r="K38" s="141">
        <v>1.6</v>
      </c>
      <c r="L38" s="38"/>
      <c r="M38" s="12"/>
      <c r="N38" s="235"/>
      <c r="O38" s="182"/>
      <c r="P38" s="182"/>
      <c r="Q38" s="182"/>
      <c r="R38" s="201"/>
      <c r="S38" s="201"/>
      <c r="T38" s="201"/>
      <c r="U38" s="201"/>
    </row>
    <row r="39" spans="5:14" ht="13.5" customHeight="1">
      <c r="E39" s="25" t="s">
        <v>61</v>
      </c>
      <c r="F39" s="25" t="s">
        <v>104</v>
      </c>
      <c r="G39" s="28">
        <v>53</v>
      </c>
      <c r="H39" s="157" t="s">
        <v>8</v>
      </c>
      <c r="I39" s="142"/>
      <c r="J39" s="135">
        <v>3.1</v>
      </c>
      <c r="K39" s="141">
        <v>2.2</v>
      </c>
      <c r="L39" s="38"/>
      <c r="M39" s="12"/>
      <c r="N39" s="235"/>
    </row>
    <row r="40" spans="3:14" ht="13.5" customHeight="1">
      <c r="C40" s="229" t="s">
        <v>53</v>
      </c>
      <c r="D40" s="237"/>
      <c r="E40" s="230"/>
      <c r="F40" s="25" t="s">
        <v>103</v>
      </c>
      <c r="G40" s="28">
        <v>60</v>
      </c>
      <c r="H40" s="28" t="s">
        <v>59</v>
      </c>
      <c r="I40" s="26"/>
      <c r="J40" s="135">
        <v>3.8</v>
      </c>
      <c r="K40" s="141">
        <v>2.7</v>
      </c>
      <c r="L40" s="140">
        <v>0.4</v>
      </c>
      <c r="M40" s="137">
        <v>0.16</v>
      </c>
      <c r="N40" s="235"/>
    </row>
    <row r="41" spans="3:14" ht="13.5" customHeight="1">
      <c r="C41" s="2" t="s">
        <v>54</v>
      </c>
      <c r="D41" s="5">
        <v>41</v>
      </c>
      <c r="E41" s="4" t="s">
        <v>59</v>
      </c>
      <c r="F41" s="25" t="s">
        <v>102</v>
      </c>
      <c r="G41" s="28">
        <v>66</v>
      </c>
      <c r="H41" s="28" t="s">
        <v>59</v>
      </c>
      <c r="I41" s="26"/>
      <c r="J41" s="135">
        <v>4.5</v>
      </c>
      <c r="K41" s="141">
        <v>3.2</v>
      </c>
      <c r="L41" s="160">
        <v>0.5</v>
      </c>
      <c r="M41" s="137">
        <v>0.18</v>
      </c>
      <c r="N41" s="235"/>
    </row>
    <row r="42" spans="3:14" ht="13.5" customHeight="1">
      <c r="C42" s="2" t="s">
        <v>55</v>
      </c>
      <c r="D42" s="5">
        <v>66</v>
      </c>
      <c r="E42" s="4" t="s">
        <v>59</v>
      </c>
      <c r="F42" s="25" t="s">
        <v>101</v>
      </c>
      <c r="G42" s="28">
        <v>71</v>
      </c>
      <c r="H42" s="28" t="s">
        <v>59</v>
      </c>
      <c r="I42" s="26"/>
      <c r="J42" s="34"/>
      <c r="K42" s="141">
        <v>3.7</v>
      </c>
      <c r="L42" s="160">
        <v>0.6</v>
      </c>
      <c r="M42" s="137">
        <v>0.2</v>
      </c>
      <c r="N42" s="235"/>
    </row>
    <row r="43" spans="3:14" ht="13.5" customHeight="1">
      <c r="C43" s="2" t="s">
        <v>56</v>
      </c>
      <c r="D43" s="5">
        <v>105</v>
      </c>
      <c r="E43" s="4" t="s">
        <v>59</v>
      </c>
      <c r="F43" s="25" t="s">
        <v>100</v>
      </c>
      <c r="G43" s="28">
        <v>76</v>
      </c>
      <c r="H43" s="28" t="s">
        <v>59</v>
      </c>
      <c r="I43" s="26"/>
      <c r="J43" s="34"/>
      <c r="K43" s="141">
        <v>4.1</v>
      </c>
      <c r="L43" s="160">
        <v>0.7</v>
      </c>
      <c r="M43" s="137">
        <v>0.24</v>
      </c>
      <c r="N43" s="235"/>
    </row>
    <row r="44" spans="3:14" ht="13.5" customHeight="1">
      <c r="C44" s="2" t="s">
        <v>57</v>
      </c>
      <c r="D44" s="31">
        <v>266</v>
      </c>
      <c r="E44" s="4" t="s">
        <v>59</v>
      </c>
      <c r="F44" s="25" t="s">
        <v>99</v>
      </c>
      <c r="G44" s="28">
        <v>80</v>
      </c>
      <c r="H44" s="28" t="s">
        <v>59</v>
      </c>
      <c r="I44" s="26"/>
      <c r="J44" s="34"/>
      <c r="K44" s="141">
        <v>4.6</v>
      </c>
      <c r="L44" s="160">
        <v>0.7</v>
      </c>
      <c r="M44" s="137">
        <v>0.25</v>
      </c>
      <c r="N44" s="235"/>
    </row>
    <row r="45" spans="3:14" ht="13.5" customHeight="1">
      <c r="C45" s="2" t="s">
        <v>58</v>
      </c>
      <c r="D45" s="5">
        <v>666</v>
      </c>
      <c r="E45" s="4" t="s">
        <v>59</v>
      </c>
      <c r="F45" s="25" t="s">
        <v>98</v>
      </c>
      <c r="G45" s="28">
        <v>83</v>
      </c>
      <c r="H45" s="28" t="s">
        <v>59</v>
      </c>
      <c r="I45" s="26"/>
      <c r="J45" s="34"/>
      <c r="K45" s="141">
        <v>4.9</v>
      </c>
      <c r="L45" s="160">
        <v>0.8</v>
      </c>
      <c r="M45" s="137">
        <v>0.26</v>
      </c>
      <c r="N45" s="235"/>
    </row>
    <row r="46" spans="3:14" ht="13.5" customHeight="1">
      <c r="C46" s="2" t="s">
        <v>60</v>
      </c>
      <c r="D46" s="5">
        <v>1050</v>
      </c>
      <c r="E46" s="4" t="s">
        <v>59</v>
      </c>
      <c r="F46" s="25" t="s">
        <v>97</v>
      </c>
      <c r="G46" s="28">
        <v>87</v>
      </c>
      <c r="H46" s="28" t="s">
        <v>59</v>
      </c>
      <c r="I46" s="26"/>
      <c r="J46" s="34"/>
      <c r="K46" s="141">
        <v>5.3</v>
      </c>
      <c r="L46" s="160">
        <v>0.8</v>
      </c>
      <c r="M46" s="137">
        <v>0.3</v>
      </c>
      <c r="N46" s="235"/>
    </row>
    <row r="47" spans="3:14" ht="13.5" customHeight="1">
      <c r="C47" s="11"/>
      <c r="D47" s="11"/>
      <c r="E47" s="11"/>
      <c r="F47" s="25" t="s">
        <v>96</v>
      </c>
      <c r="G47" s="28">
        <v>90</v>
      </c>
      <c r="H47" s="28" t="s">
        <v>59</v>
      </c>
      <c r="I47" s="26"/>
      <c r="J47" s="34"/>
      <c r="K47" s="141">
        <v>5.6</v>
      </c>
      <c r="L47" s="160">
        <v>1</v>
      </c>
      <c r="M47" s="137">
        <v>0.32</v>
      </c>
      <c r="N47" s="235"/>
    </row>
    <row r="48" spans="2:14" ht="14.25" customHeight="1">
      <c r="B48" s="277" t="s">
        <v>113</v>
      </c>
      <c r="C48" s="127" t="s">
        <v>90</v>
      </c>
      <c r="D48" s="129" t="str">
        <f>IF(D41&gt;J18,"OK","OUT")</f>
        <v>OK</v>
      </c>
      <c r="F48" s="25"/>
      <c r="G48" s="15">
        <v>96</v>
      </c>
      <c r="H48" s="15" t="s">
        <v>59</v>
      </c>
      <c r="I48" s="8"/>
      <c r="J48" s="29"/>
      <c r="K48" s="159">
        <v>6.3</v>
      </c>
      <c r="L48" s="160">
        <v>1</v>
      </c>
      <c r="M48" s="137">
        <v>0.34</v>
      </c>
      <c r="N48" s="235"/>
    </row>
    <row r="49" spans="2:14" ht="13.5" customHeight="1">
      <c r="B49" s="278"/>
      <c r="C49" s="128" t="s">
        <v>36</v>
      </c>
      <c r="D49" s="129" t="str">
        <f>IF(D42&gt;J18,"OK","OUT")</f>
        <v>OK</v>
      </c>
      <c r="F49" s="25"/>
      <c r="G49" s="40">
        <v>128</v>
      </c>
      <c r="H49" s="28" t="s">
        <v>59</v>
      </c>
      <c r="I49" s="26"/>
      <c r="J49" s="27"/>
      <c r="K49" s="152">
        <v>10.6</v>
      </c>
      <c r="L49" s="161">
        <v>1.7</v>
      </c>
      <c r="M49" s="150">
        <v>0.6</v>
      </c>
      <c r="N49" s="235"/>
    </row>
    <row r="50" spans="2:14" ht="13.5" customHeight="1">
      <c r="B50" s="279"/>
      <c r="C50" s="128" t="s">
        <v>37</v>
      </c>
      <c r="D50" s="129" t="str">
        <f>IF(D43&gt;J18,"OK","OUT")</f>
        <v>OK</v>
      </c>
      <c r="F50" s="25"/>
      <c r="G50" s="40">
        <v>160</v>
      </c>
      <c r="H50" s="28" t="s">
        <v>59</v>
      </c>
      <c r="I50" s="26"/>
      <c r="J50" s="27"/>
      <c r="K50" s="27"/>
      <c r="L50" s="162">
        <v>2.5</v>
      </c>
      <c r="M50" s="138">
        <v>0.9</v>
      </c>
      <c r="N50" s="235"/>
    </row>
    <row r="51" spans="6:14" ht="13.5" customHeight="1">
      <c r="F51" s="25"/>
      <c r="G51" s="30">
        <v>224</v>
      </c>
      <c r="H51" s="16" t="s">
        <v>59</v>
      </c>
      <c r="I51" s="9"/>
      <c r="J51" s="19"/>
      <c r="K51" s="19"/>
      <c r="L51" s="163">
        <v>4.5</v>
      </c>
      <c r="M51" s="151">
        <v>1.6</v>
      </c>
      <c r="N51" s="236"/>
    </row>
    <row r="52" spans="2:4" ht="13.5" customHeight="1">
      <c r="B52" s="277" t="s">
        <v>114</v>
      </c>
      <c r="C52" s="128" t="s">
        <v>36</v>
      </c>
      <c r="D52" s="129" t="str">
        <f>IF(D42&gt;J22,"OK","OUT")</f>
        <v>OUT</v>
      </c>
    </row>
    <row r="53" spans="2:21" ht="13.5" customHeight="1">
      <c r="B53" s="278"/>
      <c r="C53" s="127" t="s">
        <v>37</v>
      </c>
      <c r="D53" s="129" t="str">
        <f>IF(D43&gt;J23,"OK","OUT")</f>
        <v>OK</v>
      </c>
      <c r="G53" s="229" t="s">
        <v>45</v>
      </c>
      <c r="H53" s="237"/>
      <c r="I53" s="237"/>
      <c r="J53" s="237"/>
      <c r="K53" s="237"/>
      <c r="L53" s="237"/>
      <c r="M53" s="230"/>
      <c r="N53" s="234" t="s">
        <v>48</v>
      </c>
      <c r="O53" s="238" t="s">
        <v>91</v>
      </c>
      <c r="P53" s="239"/>
      <c r="Q53" s="239"/>
      <c r="R53" s="239"/>
      <c r="S53" s="239"/>
      <c r="T53" s="239"/>
      <c r="U53" s="240"/>
    </row>
    <row r="54" spans="2:21" ht="13.5" customHeight="1">
      <c r="B54" s="278"/>
      <c r="C54" s="128" t="s">
        <v>115</v>
      </c>
      <c r="D54" s="129" t="str">
        <f>IF(D44&gt;J23,"OK","OUT")</f>
        <v>OK</v>
      </c>
      <c r="G54" s="229"/>
      <c r="H54" s="230"/>
      <c r="I54" s="5" t="s">
        <v>35</v>
      </c>
      <c r="J54" s="17" t="s">
        <v>36</v>
      </c>
      <c r="K54" s="17" t="s">
        <v>37</v>
      </c>
      <c r="L54" s="36" t="s">
        <v>67</v>
      </c>
      <c r="M54" s="39" t="s">
        <v>58</v>
      </c>
      <c r="N54" s="235"/>
      <c r="O54" s="105" t="s">
        <v>90</v>
      </c>
      <c r="P54" s="106" t="s">
        <v>89</v>
      </c>
      <c r="Q54" s="115" t="s">
        <v>37</v>
      </c>
      <c r="R54" s="271" t="s">
        <v>67</v>
      </c>
      <c r="S54" s="272"/>
      <c r="T54" s="239" t="s">
        <v>88</v>
      </c>
      <c r="U54" s="240"/>
    </row>
    <row r="55" spans="2:21" ht="13.5" customHeight="1">
      <c r="B55" s="278"/>
      <c r="C55" s="128" t="s">
        <v>116</v>
      </c>
      <c r="D55" s="129" t="str">
        <f>IF(D45&gt;J23,"OK","OUT")</f>
        <v>OK</v>
      </c>
      <c r="G55" s="98">
        <v>8</v>
      </c>
      <c r="H55" s="97" t="s">
        <v>8</v>
      </c>
      <c r="I55" s="193">
        <v>0.4</v>
      </c>
      <c r="J55" s="189">
        <v>0.08</v>
      </c>
      <c r="K55" s="190"/>
      <c r="L55" s="11"/>
      <c r="M55" s="195"/>
      <c r="N55" s="235"/>
      <c r="O55" s="104">
        <f>VLOOKUP($J$19,$G$55:$M$74,3)</f>
        <v>4.6</v>
      </c>
      <c r="P55" s="110">
        <f>VLOOKUP($J$19,$G$55:$M$74,4)</f>
        <v>1.4</v>
      </c>
      <c r="Q55" s="116">
        <f>VLOOKUP($J$19,$G$55:$M$74,5)</f>
        <v>0.5</v>
      </c>
      <c r="R55" s="271">
        <f>VLOOKUP($J$19,$G$31:$K$37,5)</f>
        <v>0.8</v>
      </c>
      <c r="S55" s="272"/>
      <c r="T55" s="271">
        <f>VLOOKUP($J$19,$G$31:$K$37,5)</f>
        <v>0.8</v>
      </c>
      <c r="U55" s="240"/>
    </row>
    <row r="56" spans="2:14" ht="13.5" customHeight="1">
      <c r="B56" s="202"/>
      <c r="G56" s="191">
        <v>12</v>
      </c>
      <c r="H56" s="192" t="s">
        <v>8</v>
      </c>
      <c r="I56" s="144">
        <v>0.8</v>
      </c>
      <c r="J56" s="200">
        <v>0.26</v>
      </c>
      <c r="K56" s="13">
        <v>0.065</v>
      </c>
      <c r="L56" s="118"/>
      <c r="M56" s="13"/>
      <c r="N56" s="235"/>
    </row>
    <row r="57" spans="7:21" ht="13.5" customHeight="1">
      <c r="G57" s="99">
        <v>20</v>
      </c>
      <c r="H57" s="35" t="s">
        <v>8</v>
      </c>
      <c r="I57" s="133">
        <v>2</v>
      </c>
      <c r="J57" s="146">
        <v>0.6</v>
      </c>
      <c r="K57" s="12">
        <v>0.18</v>
      </c>
      <c r="L57" s="113"/>
      <c r="M57" s="12"/>
      <c r="N57" s="235"/>
      <c r="O57" s="166" t="s">
        <v>92</v>
      </c>
      <c r="P57" s="102"/>
      <c r="Q57" s="102"/>
      <c r="R57" s="102"/>
      <c r="S57" s="102"/>
      <c r="T57" s="102"/>
      <c r="U57" s="103"/>
    </row>
    <row r="58" spans="7:21" ht="13.5" customHeight="1">
      <c r="G58" s="99">
        <v>32</v>
      </c>
      <c r="H58" s="35" t="s">
        <v>8</v>
      </c>
      <c r="I58" s="145">
        <v>4.6</v>
      </c>
      <c r="J58" s="146">
        <v>1.4</v>
      </c>
      <c r="K58" s="12">
        <v>0.5</v>
      </c>
      <c r="L58" s="113"/>
      <c r="M58" s="12"/>
      <c r="N58" s="235"/>
      <c r="O58" s="105" t="s">
        <v>90</v>
      </c>
      <c r="P58" s="106" t="s">
        <v>89</v>
      </c>
      <c r="Q58" s="115" t="s">
        <v>37</v>
      </c>
      <c r="R58" s="117" t="s">
        <v>67</v>
      </c>
      <c r="S58" s="121"/>
      <c r="T58" s="102" t="s">
        <v>88</v>
      </c>
      <c r="U58" s="103"/>
    </row>
    <row r="59" spans="7:21" ht="13.5" customHeight="1">
      <c r="G59" s="99">
        <v>36</v>
      </c>
      <c r="H59" s="35" t="s">
        <v>8</v>
      </c>
      <c r="I59" s="132">
        <v>5.7</v>
      </c>
      <c r="J59" s="146">
        <v>1.8</v>
      </c>
      <c r="K59" s="134">
        <v>0.6</v>
      </c>
      <c r="L59" s="113"/>
      <c r="M59" s="12"/>
      <c r="N59" s="235"/>
      <c r="O59" s="104"/>
      <c r="P59" s="110">
        <f>VLOOKUP($J$24,$G$55:$M$74,4)</f>
        <v>0</v>
      </c>
      <c r="Q59" s="116">
        <f>VLOOKUP($J$24,$G$55:$M$74,5)</f>
        <v>1.8</v>
      </c>
      <c r="R59" s="273">
        <f>VLOOKUP($J$24,$G$55:$M$74,6)</f>
        <v>1</v>
      </c>
      <c r="S59" s="274">
        <f>VLOOKUP($J$24,$G$56:$M$74,4)</f>
        <v>0</v>
      </c>
      <c r="T59" s="276">
        <f>VLOOKUP($J$24,$G$55:$M$74,7)</f>
        <v>1</v>
      </c>
      <c r="U59" s="275">
        <f>VLOOKUP($J$24,$G$56:$M$74,4)</f>
        <v>0</v>
      </c>
    </row>
    <row r="60" spans="7:14" ht="13.5" customHeight="1">
      <c r="G60" s="99">
        <v>40</v>
      </c>
      <c r="H60" s="35" t="s">
        <v>8</v>
      </c>
      <c r="I60" s="145">
        <v>6.8</v>
      </c>
      <c r="J60" s="146">
        <v>2.1</v>
      </c>
      <c r="K60" s="134">
        <v>0.8</v>
      </c>
      <c r="L60" s="113"/>
      <c r="M60" s="12"/>
      <c r="N60" s="235"/>
    </row>
    <row r="61" spans="7:21" ht="13.5" customHeight="1">
      <c r="G61" s="28">
        <v>44</v>
      </c>
      <c r="H61" s="15" t="s">
        <v>59</v>
      </c>
      <c r="I61" s="92"/>
      <c r="J61" s="147">
        <v>2.5</v>
      </c>
      <c r="K61" s="135">
        <v>0.9</v>
      </c>
      <c r="L61" s="114"/>
      <c r="M61" s="12"/>
      <c r="N61" s="235"/>
      <c r="O61" s="182"/>
      <c r="P61" s="182"/>
      <c r="Q61" s="182"/>
      <c r="R61" s="201"/>
      <c r="S61" s="201"/>
      <c r="T61" s="201"/>
      <c r="U61" s="201"/>
    </row>
    <row r="62" spans="6:14" ht="13.5" customHeight="1">
      <c r="F62" s="25" t="s">
        <v>104</v>
      </c>
      <c r="G62" s="158">
        <v>53</v>
      </c>
      <c r="H62" s="157" t="s">
        <v>8</v>
      </c>
      <c r="I62" s="92"/>
      <c r="J62" s="147">
        <v>3.5</v>
      </c>
      <c r="K62" s="135">
        <v>1.2</v>
      </c>
      <c r="L62" s="114"/>
      <c r="M62" s="12"/>
      <c r="N62" s="235"/>
    </row>
    <row r="63" spans="6:14" ht="13.5" customHeight="1">
      <c r="F63" s="25" t="s">
        <v>103</v>
      </c>
      <c r="G63" s="28">
        <v>60</v>
      </c>
      <c r="H63" s="28" t="s">
        <v>59</v>
      </c>
      <c r="I63" s="26"/>
      <c r="J63" s="152">
        <v>4.4</v>
      </c>
      <c r="K63" s="135">
        <v>1.6</v>
      </c>
      <c r="L63" s="162">
        <v>1</v>
      </c>
      <c r="M63" s="137">
        <v>1</v>
      </c>
      <c r="N63" s="235"/>
    </row>
    <row r="64" spans="6:14" ht="13.5" customHeight="1">
      <c r="F64" s="25" t="s">
        <v>102</v>
      </c>
      <c r="G64" s="28">
        <v>66</v>
      </c>
      <c r="H64" s="28" t="s">
        <v>59</v>
      </c>
      <c r="I64" s="26"/>
      <c r="J64" s="27"/>
      <c r="K64" s="135">
        <v>1.8</v>
      </c>
      <c r="L64" s="162">
        <v>1</v>
      </c>
      <c r="M64" s="137">
        <v>1</v>
      </c>
      <c r="N64" s="235"/>
    </row>
    <row r="65" spans="6:14" ht="13.5" customHeight="1">
      <c r="F65" s="25" t="s">
        <v>101</v>
      </c>
      <c r="G65" s="28">
        <v>71</v>
      </c>
      <c r="H65" s="28" t="s">
        <v>59</v>
      </c>
      <c r="I65" s="26"/>
      <c r="J65" s="27"/>
      <c r="K65" s="135">
        <v>2.1</v>
      </c>
      <c r="L65" s="162">
        <v>1</v>
      </c>
      <c r="M65" s="137">
        <v>1</v>
      </c>
      <c r="N65" s="235"/>
    </row>
    <row r="66" spans="6:14" ht="13.5" customHeight="1">
      <c r="F66" s="25" t="s">
        <v>100</v>
      </c>
      <c r="G66" s="28">
        <v>76</v>
      </c>
      <c r="H66" s="28" t="s">
        <v>59</v>
      </c>
      <c r="I66" s="26"/>
      <c r="J66" s="27"/>
      <c r="K66" s="135">
        <v>2.4</v>
      </c>
      <c r="L66" s="162">
        <v>1</v>
      </c>
      <c r="M66" s="137">
        <v>1</v>
      </c>
      <c r="N66" s="235"/>
    </row>
    <row r="67" spans="6:14" ht="13.5" customHeight="1">
      <c r="F67" s="25" t="s">
        <v>99</v>
      </c>
      <c r="G67" s="28">
        <v>80</v>
      </c>
      <c r="H67" s="28" t="s">
        <v>59</v>
      </c>
      <c r="I67" s="26"/>
      <c r="J67" s="27"/>
      <c r="K67" s="135">
        <v>2.6</v>
      </c>
      <c r="L67" s="162">
        <v>1</v>
      </c>
      <c r="M67" s="137">
        <v>1</v>
      </c>
      <c r="N67" s="235"/>
    </row>
    <row r="68" spans="6:14" ht="13.5" customHeight="1">
      <c r="F68" s="25" t="s">
        <v>98</v>
      </c>
      <c r="G68" s="28">
        <v>83</v>
      </c>
      <c r="H68" s="28" t="s">
        <v>59</v>
      </c>
      <c r="I68" s="26"/>
      <c r="J68" s="27"/>
      <c r="K68" s="135">
        <v>2.8</v>
      </c>
      <c r="L68" s="162">
        <v>1</v>
      </c>
      <c r="M68" s="137">
        <v>1</v>
      </c>
      <c r="N68" s="235"/>
    </row>
    <row r="69" spans="6:14" ht="13.5" customHeight="1">
      <c r="F69" s="25" t="s">
        <v>97</v>
      </c>
      <c r="G69" s="28">
        <v>87</v>
      </c>
      <c r="H69" s="28" t="s">
        <v>59</v>
      </c>
      <c r="I69" s="26"/>
      <c r="J69" s="27"/>
      <c r="K69" s="135">
        <v>3</v>
      </c>
      <c r="L69" s="162">
        <v>1</v>
      </c>
      <c r="M69" s="137">
        <v>1</v>
      </c>
      <c r="N69" s="235"/>
    </row>
    <row r="70" spans="6:14" ht="13.5" customHeight="1">
      <c r="F70" s="25" t="s">
        <v>96</v>
      </c>
      <c r="G70" s="28">
        <v>90</v>
      </c>
      <c r="H70" s="28" t="s">
        <v>59</v>
      </c>
      <c r="I70" s="26"/>
      <c r="J70" s="27"/>
      <c r="K70" s="135">
        <v>3.2</v>
      </c>
      <c r="L70" s="162">
        <v>1</v>
      </c>
      <c r="M70" s="137">
        <v>1</v>
      </c>
      <c r="N70" s="235"/>
    </row>
    <row r="71" spans="6:14" ht="13.5" customHeight="1">
      <c r="F71" s="25"/>
      <c r="G71" s="15">
        <v>96</v>
      </c>
      <c r="H71" s="15" t="s">
        <v>59</v>
      </c>
      <c r="I71" s="26"/>
      <c r="J71" s="27"/>
      <c r="K71" s="147">
        <v>3.6</v>
      </c>
      <c r="L71" s="162">
        <v>1</v>
      </c>
      <c r="M71" s="137">
        <v>1</v>
      </c>
      <c r="N71" s="235"/>
    </row>
    <row r="72" spans="6:14" ht="13.5" customHeight="1">
      <c r="F72" s="25"/>
      <c r="G72" s="40">
        <v>128</v>
      </c>
      <c r="H72" s="28" t="s">
        <v>59</v>
      </c>
      <c r="I72" s="26"/>
      <c r="J72" s="27"/>
      <c r="K72" s="152">
        <v>6</v>
      </c>
      <c r="L72" s="162">
        <v>1</v>
      </c>
      <c r="M72" s="150">
        <v>1</v>
      </c>
      <c r="N72" s="235"/>
    </row>
    <row r="73" spans="6:14" ht="13.5" customHeight="1">
      <c r="F73" s="25"/>
      <c r="G73" s="40">
        <v>160</v>
      </c>
      <c r="H73" s="28" t="s">
        <v>59</v>
      </c>
      <c r="I73" s="26"/>
      <c r="J73" s="27"/>
      <c r="K73" s="6"/>
      <c r="L73" s="162">
        <v>1</v>
      </c>
      <c r="M73" s="138">
        <v>1</v>
      </c>
      <c r="N73" s="235"/>
    </row>
    <row r="74" spans="6:14" ht="13.5" customHeight="1">
      <c r="F74" s="25"/>
      <c r="G74" s="30">
        <v>224</v>
      </c>
      <c r="H74" s="16" t="s">
        <v>59</v>
      </c>
      <c r="I74" s="9"/>
      <c r="J74" s="19"/>
      <c r="K74" s="41"/>
      <c r="L74" s="163"/>
      <c r="M74" s="151">
        <v>1</v>
      </c>
      <c r="N74" s="236"/>
    </row>
    <row r="75" ht="13.5" customHeight="1"/>
    <row r="76" spans="7:21" ht="13.5" customHeight="1">
      <c r="G76" s="229" t="s">
        <v>38</v>
      </c>
      <c r="H76" s="237"/>
      <c r="I76" s="237"/>
      <c r="J76" s="237"/>
      <c r="K76" s="237"/>
      <c r="L76" s="237"/>
      <c r="M76" s="230"/>
      <c r="N76" s="234" t="s">
        <v>47</v>
      </c>
      <c r="O76" s="238" t="s">
        <v>93</v>
      </c>
      <c r="P76" s="239"/>
      <c r="Q76" s="239"/>
      <c r="R76" s="239"/>
      <c r="S76" s="239"/>
      <c r="T76" s="239"/>
      <c r="U76" s="240"/>
    </row>
    <row r="77" spans="7:21" ht="13.5" customHeight="1">
      <c r="G77" s="229"/>
      <c r="H77" s="230"/>
      <c r="I77" s="5" t="s">
        <v>35</v>
      </c>
      <c r="J77" s="17" t="s">
        <v>36</v>
      </c>
      <c r="K77" s="17" t="s">
        <v>37</v>
      </c>
      <c r="L77" s="36" t="s">
        <v>67</v>
      </c>
      <c r="M77" s="39" t="s">
        <v>58</v>
      </c>
      <c r="N77" s="235"/>
      <c r="O77" s="105" t="s">
        <v>90</v>
      </c>
      <c r="P77" s="106" t="s">
        <v>89</v>
      </c>
      <c r="Q77" s="115" t="s">
        <v>37</v>
      </c>
      <c r="R77" s="271" t="s">
        <v>67</v>
      </c>
      <c r="S77" s="272"/>
      <c r="T77" s="239" t="s">
        <v>88</v>
      </c>
      <c r="U77" s="240"/>
    </row>
    <row r="78" spans="7:21" ht="13.5" customHeight="1">
      <c r="G78" s="14">
        <v>12</v>
      </c>
      <c r="H78" s="14" t="s">
        <v>59</v>
      </c>
      <c r="I78" s="144">
        <v>0.6</v>
      </c>
      <c r="J78" s="18">
        <v>0.07</v>
      </c>
      <c r="K78" s="21">
        <v>0.03</v>
      </c>
      <c r="L78" s="119"/>
      <c r="M78" s="13"/>
      <c r="N78" s="235"/>
      <c r="O78" s="104"/>
      <c r="P78" s="110">
        <f>VLOOKUP($J$25,$G$78:$M$96,4)</f>
        <v>0</v>
      </c>
      <c r="Q78" s="116">
        <f>VLOOKUP($J$25,$G$78:$M$96,5)</f>
        <v>0.6</v>
      </c>
      <c r="R78" s="273">
        <f>VLOOKUP($J$25,$G$78:$M$96,6)</f>
        <v>0.8</v>
      </c>
      <c r="S78" s="274">
        <f>VLOOKUP($J$25,$G$78:$M$96,4)</f>
        <v>0</v>
      </c>
      <c r="T78" s="276">
        <f>VLOOKUP($J$25,$G$78:$M$96,7)</f>
        <v>0.8</v>
      </c>
      <c r="U78" s="275">
        <f>VLOOKUP($J$25,$G$78:$M$96,4)</f>
        <v>0</v>
      </c>
    </row>
    <row r="79" spans="7:14" ht="13.5" customHeight="1">
      <c r="G79" s="15">
        <v>20</v>
      </c>
      <c r="H79" s="15" t="s">
        <v>59</v>
      </c>
      <c r="I79" s="145">
        <v>1.6</v>
      </c>
      <c r="J79" s="146">
        <v>0.2</v>
      </c>
      <c r="K79" s="22">
        <v>0.08</v>
      </c>
      <c r="L79" s="120"/>
      <c r="M79" s="12"/>
      <c r="N79" s="235"/>
    </row>
    <row r="80" spans="7:14" ht="13.5" customHeight="1">
      <c r="G80" s="15">
        <v>32</v>
      </c>
      <c r="H80" s="15" t="s">
        <v>59</v>
      </c>
      <c r="I80" s="145">
        <v>3.7</v>
      </c>
      <c r="J80" s="146">
        <v>0.5</v>
      </c>
      <c r="K80" s="22">
        <v>0.2</v>
      </c>
      <c r="L80" s="120"/>
      <c r="M80" s="12"/>
      <c r="N80" s="235"/>
    </row>
    <row r="81" spans="7:14" ht="13.5" customHeight="1">
      <c r="G81" s="15">
        <v>36</v>
      </c>
      <c r="H81" s="15" t="s">
        <v>59</v>
      </c>
      <c r="I81" s="145">
        <v>4.5</v>
      </c>
      <c r="J81" s="146">
        <v>0.6</v>
      </c>
      <c r="K81" s="146">
        <v>0.22</v>
      </c>
      <c r="L81" s="120"/>
      <c r="M81" s="12"/>
      <c r="N81" s="235"/>
    </row>
    <row r="82" spans="7:14" ht="13.5" customHeight="1">
      <c r="G82" s="15">
        <v>40</v>
      </c>
      <c r="H82" s="15" t="s">
        <v>59</v>
      </c>
      <c r="I82" s="145">
        <v>5.5</v>
      </c>
      <c r="J82" s="146">
        <v>0.7</v>
      </c>
      <c r="K82" s="146">
        <v>0.27</v>
      </c>
      <c r="L82" s="120"/>
      <c r="M82" s="12"/>
      <c r="N82" s="235"/>
    </row>
    <row r="83" spans="7:14" ht="13.5" customHeight="1">
      <c r="G83" s="28">
        <v>44</v>
      </c>
      <c r="H83" s="15" t="s">
        <v>59</v>
      </c>
      <c r="I83" s="20"/>
      <c r="J83" s="146">
        <v>0.9</v>
      </c>
      <c r="K83" s="146">
        <v>0.31</v>
      </c>
      <c r="L83" s="120"/>
      <c r="M83" s="12"/>
      <c r="N83" s="235"/>
    </row>
    <row r="84" spans="6:14" ht="13.5" customHeight="1">
      <c r="F84" s="25" t="s">
        <v>104</v>
      </c>
      <c r="G84" s="158">
        <v>53</v>
      </c>
      <c r="H84" s="157" t="s">
        <v>8</v>
      </c>
      <c r="I84" s="20"/>
      <c r="J84" s="146">
        <v>1.2</v>
      </c>
      <c r="K84" s="146">
        <v>0.44</v>
      </c>
      <c r="L84" s="120"/>
      <c r="M84" s="12"/>
      <c r="N84" s="235"/>
    </row>
    <row r="85" spans="6:14" ht="13.5" customHeight="1">
      <c r="F85" s="25" t="s">
        <v>103</v>
      </c>
      <c r="G85" s="28">
        <v>60</v>
      </c>
      <c r="H85" s="28" t="s">
        <v>59</v>
      </c>
      <c r="I85" s="20"/>
      <c r="J85" s="159">
        <v>1.5</v>
      </c>
      <c r="K85" s="146">
        <v>0.54</v>
      </c>
      <c r="L85" s="161">
        <v>0.8</v>
      </c>
      <c r="M85" s="137">
        <v>0.8</v>
      </c>
      <c r="N85" s="235"/>
    </row>
    <row r="86" spans="6:14" ht="13.5" customHeight="1">
      <c r="F86" s="25" t="s">
        <v>102</v>
      </c>
      <c r="G86" s="28">
        <v>66</v>
      </c>
      <c r="H86" s="28" t="s">
        <v>59</v>
      </c>
      <c r="I86" s="20"/>
      <c r="J86" s="29"/>
      <c r="K86" s="147">
        <v>0.6</v>
      </c>
      <c r="L86" s="161">
        <v>0.8</v>
      </c>
      <c r="M86" s="137">
        <v>0.8</v>
      </c>
      <c r="N86" s="235"/>
    </row>
    <row r="87" spans="6:14" ht="13.5" customHeight="1">
      <c r="F87" s="25" t="s">
        <v>101</v>
      </c>
      <c r="G87" s="28">
        <v>71</v>
      </c>
      <c r="H87" s="28" t="s">
        <v>59</v>
      </c>
      <c r="I87" s="20"/>
      <c r="J87" s="29"/>
      <c r="K87" s="147">
        <v>0.7</v>
      </c>
      <c r="L87" s="161">
        <v>0.8</v>
      </c>
      <c r="M87" s="137">
        <v>0.8</v>
      </c>
      <c r="N87" s="235"/>
    </row>
    <row r="88" spans="6:14" ht="13.5" customHeight="1">
      <c r="F88" s="25" t="s">
        <v>100</v>
      </c>
      <c r="G88" s="28">
        <v>76</v>
      </c>
      <c r="H88" s="28" t="s">
        <v>59</v>
      </c>
      <c r="I88" s="20"/>
      <c r="J88" s="29"/>
      <c r="K88" s="147">
        <v>0.8</v>
      </c>
      <c r="L88" s="161">
        <v>0.8</v>
      </c>
      <c r="M88" s="137">
        <v>0.8</v>
      </c>
      <c r="N88" s="235"/>
    </row>
    <row r="89" spans="6:14" ht="13.5" customHeight="1">
      <c r="F89" s="25" t="s">
        <v>99</v>
      </c>
      <c r="G89" s="28">
        <v>80</v>
      </c>
      <c r="H89" s="28" t="s">
        <v>59</v>
      </c>
      <c r="I89" s="20"/>
      <c r="J89" s="29"/>
      <c r="K89" s="147">
        <v>0.9</v>
      </c>
      <c r="L89" s="161">
        <v>0.8</v>
      </c>
      <c r="M89" s="137">
        <v>0.8</v>
      </c>
      <c r="N89" s="235"/>
    </row>
    <row r="90" spans="6:14" ht="13.5" customHeight="1">
      <c r="F90" s="25" t="s">
        <v>98</v>
      </c>
      <c r="G90" s="28">
        <v>83</v>
      </c>
      <c r="H90" s="28" t="s">
        <v>59</v>
      </c>
      <c r="I90" s="20"/>
      <c r="J90" s="29"/>
      <c r="K90" s="147">
        <v>1</v>
      </c>
      <c r="L90" s="161">
        <v>0.8</v>
      </c>
      <c r="M90" s="137">
        <v>0.8</v>
      </c>
      <c r="N90" s="235"/>
    </row>
    <row r="91" spans="6:14" ht="13.5" customHeight="1">
      <c r="F91" s="25" t="s">
        <v>97</v>
      </c>
      <c r="G91" s="28">
        <v>87</v>
      </c>
      <c r="H91" s="28" t="s">
        <v>59</v>
      </c>
      <c r="I91" s="20"/>
      <c r="J91" s="29"/>
      <c r="K91" s="147">
        <v>1.1</v>
      </c>
      <c r="L91" s="161">
        <v>0.8</v>
      </c>
      <c r="M91" s="137">
        <v>0.8</v>
      </c>
      <c r="N91" s="235"/>
    </row>
    <row r="92" spans="6:14" ht="13.5" customHeight="1">
      <c r="F92" s="25" t="s">
        <v>96</v>
      </c>
      <c r="G92" s="28">
        <v>90</v>
      </c>
      <c r="H92" s="28" t="s">
        <v>59</v>
      </c>
      <c r="I92" s="20"/>
      <c r="J92" s="29"/>
      <c r="K92" s="147">
        <v>1.2</v>
      </c>
      <c r="L92" s="161">
        <v>0.8</v>
      </c>
      <c r="M92" s="137">
        <v>0.8</v>
      </c>
      <c r="N92" s="235"/>
    </row>
    <row r="93" spans="6:14" ht="13.5" customHeight="1">
      <c r="F93" s="25"/>
      <c r="G93" s="15">
        <v>96</v>
      </c>
      <c r="H93" s="15" t="s">
        <v>59</v>
      </c>
      <c r="I93" s="44"/>
      <c r="J93" s="29"/>
      <c r="K93" s="147">
        <v>1.3</v>
      </c>
      <c r="L93" s="161">
        <v>0.8</v>
      </c>
      <c r="M93" s="137">
        <v>0.8</v>
      </c>
      <c r="N93" s="235"/>
    </row>
    <row r="94" spans="6:14" ht="13.5" customHeight="1">
      <c r="F94" s="25"/>
      <c r="G94" s="40">
        <v>128</v>
      </c>
      <c r="H94" s="28" t="s">
        <v>59</v>
      </c>
      <c r="I94" s="44"/>
      <c r="J94" s="29"/>
      <c r="K94" s="152">
        <v>2.1</v>
      </c>
      <c r="L94" s="161">
        <v>0.8</v>
      </c>
      <c r="M94" s="150">
        <v>0.8</v>
      </c>
      <c r="N94" s="235"/>
    </row>
    <row r="95" spans="6:14" ht="13.5" customHeight="1">
      <c r="F95" s="25"/>
      <c r="G95" s="40">
        <v>160</v>
      </c>
      <c r="H95" s="28" t="s">
        <v>59</v>
      </c>
      <c r="I95" s="44"/>
      <c r="J95" s="29"/>
      <c r="K95" s="42"/>
      <c r="L95" s="161">
        <v>0.8</v>
      </c>
      <c r="M95" s="138">
        <v>0.8</v>
      </c>
      <c r="N95" s="235"/>
    </row>
    <row r="96" spans="6:14" ht="13.5" customHeight="1">
      <c r="F96" s="25"/>
      <c r="G96" s="30">
        <v>224</v>
      </c>
      <c r="H96" s="16" t="s">
        <v>59</v>
      </c>
      <c r="I96" s="45"/>
      <c r="J96" s="19"/>
      <c r="K96" s="43"/>
      <c r="L96" s="165"/>
      <c r="M96" s="151">
        <v>0.8</v>
      </c>
      <c r="N96" s="236"/>
    </row>
    <row r="97" ht="13.5" customHeight="1">
      <c r="G97" s="46"/>
    </row>
    <row r="98" ht="13.5" customHeight="1"/>
    <row r="99" ht="13.5" customHeight="1"/>
    <row r="100" ht="13.5" customHeight="1"/>
  </sheetData>
  <sheetProtection/>
  <mergeCells count="51">
    <mergeCell ref="L24:M24"/>
    <mergeCell ref="L25:M25"/>
    <mergeCell ref="C31:E31"/>
    <mergeCell ref="G31:M31"/>
    <mergeCell ref="N31:N51"/>
    <mergeCell ref="O31:U31"/>
    <mergeCell ref="C40:E40"/>
    <mergeCell ref="G32:H32"/>
    <mergeCell ref="R37:S37"/>
    <mergeCell ref="I17:I19"/>
    <mergeCell ref="L18:M18"/>
    <mergeCell ref="L19:M19"/>
    <mergeCell ref="E9:F9"/>
    <mergeCell ref="H9:I10"/>
    <mergeCell ref="E27:F27"/>
    <mergeCell ref="L23:M23"/>
    <mergeCell ref="L22:M22"/>
    <mergeCell ref="H20:H25"/>
    <mergeCell ref="I21:I25"/>
    <mergeCell ref="L11:M11"/>
    <mergeCell ref="R33:S33"/>
    <mergeCell ref="T33:U33"/>
    <mergeCell ref="R36:S36"/>
    <mergeCell ref="T36:U36"/>
    <mergeCell ref="R32:S32"/>
    <mergeCell ref="T32:U32"/>
    <mergeCell ref="O35:U35"/>
    <mergeCell ref="C29:L29"/>
    <mergeCell ref="H17:H19"/>
    <mergeCell ref="O53:U53"/>
    <mergeCell ref="R59:S59"/>
    <mergeCell ref="T59:U59"/>
    <mergeCell ref="T37:U37"/>
    <mergeCell ref="T54:U54"/>
    <mergeCell ref="Q9:Q10"/>
    <mergeCell ref="B48:B50"/>
    <mergeCell ref="G76:M76"/>
    <mergeCell ref="N76:N96"/>
    <mergeCell ref="G53:M53"/>
    <mergeCell ref="B52:B55"/>
    <mergeCell ref="G77:H77"/>
    <mergeCell ref="N53:N74"/>
    <mergeCell ref="R78:S78"/>
    <mergeCell ref="T78:U78"/>
    <mergeCell ref="G54:H54"/>
    <mergeCell ref="R54:S54"/>
    <mergeCell ref="T55:U55"/>
    <mergeCell ref="R55:S55"/>
    <mergeCell ref="O76:U76"/>
    <mergeCell ref="T77:U77"/>
    <mergeCell ref="R77:S77"/>
  </mergeCells>
  <printOptions/>
  <pageMargins left="0.75" right="0.75" top="1" bottom="1" header="0.512" footer="0.512"/>
  <pageSetup horizontalDpi="300" verticalDpi="3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6"/>
  <sheetViews>
    <sheetView zoomScale="75" zoomScaleNormal="75" zoomScalePageLayoutView="0" workbookViewId="0" topLeftCell="A1">
      <selection activeCell="AC33" sqref="AC33"/>
    </sheetView>
  </sheetViews>
  <sheetFormatPr defaultColWidth="9.00390625" defaultRowHeight="13.5"/>
  <sheetData>
    <row r="1" spans="1:32" ht="30" customHeight="1">
      <c r="A1" s="283" t="s">
        <v>119</v>
      </c>
      <c r="B1" s="283"/>
      <c r="C1" s="283"/>
      <c r="D1" s="283"/>
      <c r="E1" s="283"/>
      <c r="F1" s="283"/>
      <c r="H1" s="283" t="s">
        <v>120</v>
      </c>
      <c r="I1" s="283"/>
      <c r="J1" s="283"/>
      <c r="K1" s="283"/>
      <c r="L1" s="283"/>
      <c r="M1" s="283"/>
      <c r="N1" s="184"/>
      <c r="O1" s="283" t="s">
        <v>84</v>
      </c>
      <c r="P1" s="283"/>
      <c r="Q1" s="283"/>
      <c r="R1" s="283"/>
      <c r="S1" s="283"/>
      <c r="T1" s="283"/>
      <c r="U1" s="283"/>
      <c r="W1" s="283" t="s">
        <v>85</v>
      </c>
      <c r="X1" s="283"/>
      <c r="Y1" s="283"/>
      <c r="Z1" s="283"/>
      <c r="AA1" s="283"/>
      <c r="AB1" s="283"/>
      <c r="AC1" s="283"/>
      <c r="AE1" s="168"/>
      <c r="AF1" s="169"/>
    </row>
    <row r="2" spans="1:32" ht="13.5">
      <c r="A2" s="76"/>
      <c r="B2" s="77"/>
      <c r="C2" s="77"/>
      <c r="D2" s="77"/>
      <c r="E2" s="77"/>
      <c r="F2" s="78"/>
      <c r="H2" s="76"/>
      <c r="I2" s="77"/>
      <c r="J2" s="77"/>
      <c r="K2" s="77"/>
      <c r="L2" s="77"/>
      <c r="M2" s="78"/>
      <c r="N2" s="182"/>
      <c r="O2" s="76"/>
      <c r="P2" s="77"/>
      <c r="Q2" s="77"/>
      <c r="R2" s="77"/>
      <c r="S2" s="77"/>
      <c r="T2" s="77"/>
      <c r="U2" s="78"/>
      <c r="W2" s="76"/>
      <c r="X2" s="77"/>
      <c r="Y2" s="77"/>
      <c r="Z2" s="77"/>
      <c r="AA2" s="77"/>
      <c r="AB2" s="77"/>
      <c r="AC2" s="78"/>
      <c r="AE2" s="167"/>
      <c r="AF2" s="169"/>
    </row>
    <row r="3" spans="1:31" ht="16.5" customHeight="1">
      <c r="A3" s="79"/>
      <c r="B3" s="80"/>
      <c r="C3" s="80"/>
      <c r="D3" s="80"/>
      <c r="E3" s="80"/>
      <c r="F3" s="81"/>
      <c r="H3" s="79"/>
      <c r="I3" s="80"/>
      <c r="J3" s="80"/>
      <c r="K3" s="80"/>
      <c r="L3" s="80"/>
      <c r="M3" s="81"/>
      <c r="N3" s="182"/>
      <c r="O3" s="79"/>
      <c r="P3" s="80"/>
      <c r="Q3" s="80"/>
      <c r="R3" s="80"/>
      <c r="S3" s="80"/>
      <c r="T3" s="80"/>
      <c r="U3" s="81"/>
      <c r="W3" s="79"/>
      <c r="X3" s="80"/>
      <c r="Y3" s="80"/>
      <c r="Z3" s="80"/>
      <c r="AA3" s="80"/>
      <c r="AB3" s="80"/>
      <c r="AC3" s="81"/>
      <c r="AE3" s="167"/>
    </row>
    <row r="4" spans="1:31" ht="15" customHeight="1">
      <c r="A4" s="79"/>
      <c r="B4" s="80"/>
      <c r="C4" s="80"/>
      <c r="D4" s="80"/>
      <c r="E4" s="80"/>
      <c r="F4" s="81"/>
      <c r="H4" s="79"/>
      <c r="I4" s="80"/>
      <c r="J4" s="80"/>
      <c r="K4" s="80"/>
      <c r="L4" s="80"/>
      <c r="M4" s="81"/>
      <c r="N4" s="182"/>
      <c r="O4" s="79"/>
      <c r="P4" s="80"/>
      <c r="Q4" s="80"/>
      <c r="R4" s="80"/>
      <c r="S4" s="80"/>
      <c r="T4" s="80"/>
      <c r="U4" s="81"/>
      <c r="W4" s="79"/>
      <c r="X4" s="80"/>
      <c r="Y4" s="80"/>
      <c r="Z4" s="80"/>
      <c r="AA4" s="80"/>
      <c r="AB4" s="80"/>
      <c r="AC4" s="81"/>
      <c r="AE4" s="167"/>
    </row>
    <row r="5" spans="1:31" ht="15" customHeight="1">
      <c r="A5" s="79"/>
      <c r="B5" s="80"/>
      <c r="C5" s="80"/>
      <c r="D5" s="80"/>
      <c r="E5" s="80"/>
      <c r="F5" s="81"/>
      <c r="H5" s="79"/>
      <c r="I5" s="80"/>
      <c r="J5" s="80"/>
      <c r="K5" s="80"/>
      <c r="L5" s="80"/>
      <c r="M5" s="81"/>
      <c r="N5" s="182"/>
      <c r="O5" s="79"/>
      <c r="P5" s="80"/>
      <c r="Q5" s="80"/>
      <c r="R5" s="80"/>
      <c r="S5" s="80"/>
      <c r="T5" s="80"/>
      <c r="U5" s="81"/>
      <c r="W5" s="79"/>
      <c r="X5" s="80"/>
      <c r="Y5" s="80"/>
      <c r="Z5" s="80"/>
      <c r="AA5" s="80"/>
      <c r="AB5" s="80"/>
      <c r="AC5" s="81"/>
      <c r="AE5" s="167"/>
    </row>
    <row r="6" spans="1:31" ht="15" customHeight="1">
      <c r="A6" s="79"/>
      <c r="B6" s="80"/>
      <c r="C6" s="80"/>
      <c r="D6" s="80"/>
      <c r="E6" s="80"/>
      <c r="F6" s="81"/>
      <c r="H6" s="79"/>
      <c r="I6" s="80"/>
      <c r="J6" s="80"/>
      <c r="K6" s="80"/>
      <c r="L6" s="80"/>
      <c r="M6" s="81"/>
      <c r="N6" s="182"/>
      <c r="O6" s="79"/>
      <c r="P6" s="80"/>
      <c r="Q6" s="80"/>
      <c r="R6" s="80"/>
      <c r="S6" s="80"/>
      <c r="T6" s="80"/>
      <c r="U6" s="81"/>
      <c r="W6" s="79"/>
      <c r="X6" s="80"/>
      <c r="Y6" s="80"/>
      <c r="Z6" s="80"/>
      <c r="AA6" s="80"/>
      <c r="AB6" s="80"/>
      <c r="AC6" s="81"/>
      <c r="AE6" s="167"/>
    </row>
    <row r="7" spans="1:31" ht="15" customHeight="1">
      <c r="A7" s="79"/>
      <c r="B7" s="80"/>
      <c r="C7" s="80"/>
      <c r="D7" s="80"/>
      <c r="E7" s="80"/>
      <c r="F7" s="81"/>
      <c r="H7" s="79"/>
      <c r="I7" s="80"/>
      <c r="J7" s="80"/>
      <c r="K7" s="80"/>
      <c r="L7" s="80"/>
      <c r="M7" s="81"/>
      <c r="N7" s="182"/>
      <c r="O7" s="79"/>
      <c r="P7" s="80"/>
      <c r="Q7" s="80"/>
      <c r="R7" s="80"/>
      <c r="S7" s="80"/>
      <c r="T7" s="80"/>
      <c r="U7" s="81"/>
      <c r="W7" s="79"/>
      <c r="X7" s="80"/>
      <c r="Y7" s="80"/>
      <c r="Z7" s="80"/>
      <c r="AA7" s="80"/>
      <c r="AB7" s="80"/>
      <c r="AC7" s="81"/>
      <c r="AE7" s="167"/>
    </row>
    <row r="8" spans="1:31" ht="15" customHeight="1">
      <c r="A8" s="79"/>
      <c r="B8" s="80"/>
      <c r="C8" s="80"/>
      <c r="D8" s="80"/>
      <c r="E8" s="80"/>
      <c r="F8" s="81"/>
      <c r="H8" s="79"/>
      <c r="I8" s="80"/>
      <c r="J8" s="80"/>
      <c r="K8" s="80"/>
      <c r="L8" s="80"/>
      <c r="M8" s="81"/>
      <c r="N8" s="182"/>
      <c r="O8" s="79"/>
      <c r="P8" s="80"/>
      <c r="Q8" s="80"/>
      <c r="R8" s="80"/>
      <c r="S8" s="80"/>
      <c r="T8" s="80"/>
      <c r="U8" s="81"/>
      <c r="W8" s="79"/>
      <c r="X8" s="80"/>
      <c r="Y8" s="80"/>
      <c r="Z8" s="80"/>
      <c r="AA8" s="80"/>
      <c r="AB8" s="80"/>
      <c r="AC8" s="81"/>
      <c r="AE8" s="167"/>
    </row>
    <row r="9" spans="1:31" ht="15" customHeight="1">
      <c r="A9" s="79"/>
      <c r="B9" s="80"/>
      <c r="C9" s="80"/>
      <c r="D9" s="80"/>
      <c r="E9" s="80"/>
      <c r="F9" s="81"/>
      <c r="H9" s="79"/>
      <c r="I9" s="80"/>
      <c r="J9" s="80"/>
      <c r="K9" s="80"/>
      <c r="L9" s="80"/>
      <c r="M9" s="81"/>
      <c r="N9" s="182"/>
      <c r="O9" s="79"/>
      <c r="P9" s="80"/>
      <c r="Q9" s="80"/>
      <c r="R9" s="80"/>
      <c r="S9" s="80"/>
      <c r="T9" s="80"/>
      <c r="U9" s="81"/>
      <c r="W9" s="79"/>
      <c r="X9" s="80"/>
      <c r="Y9" s="80"/>
      <c r="Z9" s="80"/>
      <c r="AA9" s="80"/>
      <c r="AB9" s="80"/>
      <c r="AC9" s="81"/>
      <c r="AE9" s="167"/>
    </row>
    <row r="10" spans="1:31" ht="15" customHeight="1">
      <c r="A10" s="79"/>
      <c r="B10" s="80"/>
      <c r="C10" s="80"/>
      <c r="D10" s="80"/>
      <c r="E10" s="80"/>
      <c r="F10" s="81"/>
      <c r="H10" s="79"/>
      <c r="I10" s="80"/>
      <c r="J10" s="80"/>
      <c r="K10" s="80"/>
      <c r="L10" s="80"/>
      <c r="M10" s="81"/>
      <c r="N10" s="182"/>
      <c r="O10" s="79"/>
      <c r="P10" s="80"/>
      <c r="Q10" s="80"/>
      <c r="R10" s="80"/>
      <c r="S10" s="80"/>
      <c r="T10" s="80"/>
      <c r="U10" s="81"/>
      <c r="W10" s="79"/>
      <c r="X10" s="80"/>
      <c r="Y10" s="80"/>
      <c r="Z10" s="80"/>
      <c r="AA10" s="80"/>
      <c r="AB10" s="80"/>
      <c r="AC10" s="81"/>
      <c r="AE10" s="167"/>
    </row>
    <row r="11" spans="1:31" ht="15" customHeight="1">
      <c r="A11" s="79"/>
      <c r="B11" s="80"/>
      <c r="C11" s="80"/>
      <c r="D11" s="80"/>
      <c r="E11" s="80"/>
      <c r="F11" s="81"/>
      <c r="H11" s="79"/>
      <c r="I11" s="80"/>
      <c r="J11" s="80"/>
      <c r="K11" s="80"/>
      <c r="L11" s="80"/>
      <c r="M11" s="81"/>
      <c r="N11" s="182"/>
      <c r="O11" s="79"/>
      <c r="P11" s="80"/>
      <c r="Q11" s="80"/>
      <c r="R11" s="80"/>
      <c r="S11" s="80"/>
      <c r="T11" s="80"/>
      <c r="U11" s="81"/>
      <c r="W11" s="79"/>
      <c r="X11" s="80"/>
      <c r="Y11" s="80"/>
      <c r="Z11" s="80"/>
      <c r="AA11" s="80"/>
      <c r="AB11" s="80"/>
      <c r="AC11" s="81"/>
      <c r="AE11" s="167"/>
    </row>
    <row r="12" spans="1:31" ht="15" customHeight="1">
      <c r="A12" s="79"/>
      <c r="B12" s="80"/>
      <c r="C12" s="80"/>
      <c r="D12" s="80"/>
      <c r="E12" s="80"/>
      <c r="F12" s="81"/>
      <c r="H12" s="79"/>
      <c r="I12" s="80"/>
      <c r="J12" s="80"/>
      <c r="K12" s="80"/>
      <c r="L12" s="80"/>
      <c r="M12" s="81"/>
      <c r="N12" s="182"/>
      <c r="O12" s="79"/>
      <c r="P12" s="80"/>
      <c r="Q12" s="80"/>
      <c r="R12" s="80"/>
      <c r="S12" s="80"/>
      <c r="T12" s="80"/>
      <c r="U12" s="81"/>
      <c r="W12" s="79"/>
      <c r="X12" s="80"/>
      <c r="Y12" s="80"/>
      <c r="Z12" s="80"/>
      <c r="AA12" s="80"/>
      <c r="AB12" s="80"/>
      <c r="AC12" s="81"/>
      <c r="AE12" s="167"/>
    </row>
    <row r="13" spans="1:31" ht="15" customHeight="1">
      <c r="A13" s="79"/>
      <c r="B13" s="80"/>
      <c r="C13" s="80"/>
      <c r="D13" s="80"/>
      <c r="E13" s="80"/>
      <c r="F13" s="81"/>
      <c r="H13" s="79"/>
      <c r="I13" s="80"/>
      <c r="J13" s="80"/>
      <c r="K13" s="80"/>
      <c r="L13" s="80"/>
      <c r="M13" s="81"/>
      <c r="N13" s="182"/>
      <c r="O13" s="79"/>
      <c r="P13" s="80"/>
      <c r="Q13" s="80"/>
      <c r="R13" s="80"/>
      <c r="S13" s="80"/>
      <c r="T13" s="80"/>
      <c r="U13" s="81"/>
      <c r="W13" s="79"/>
      <c r="X13" s="80"/>
      <c r="Y13" s="80"/>
      <c r="Z13" s="80"/>
      <c r="AA13" s="80"/>
      <c r="AB13" s="80"/>
      <c r="AC13" s="81"/>
      <c r="AE13" s="167"/>
    </row>
    <row r="14" spans="1:31" ht="15" customHeight="1">
      <c r="A14" s="79"/>
      <c r="B14" s="80"/>
      <c r="C14" s="80"/>
      <c r="D14" s="80"/>
      <c r="E14" s="80"/>
      <c r="F14" s="81"/>
      <c r="H14" s="79"/>
      <c r="I14" s="80"/>
      <c r="J14" s="80"/>
      <c r="K14" s="80"/>
      <c r="L14" s="80"/>
      <c r="M14" s="81"/>
      <c r="N14" s="182"/>
      <c r="O14" s="79"/>
      <c r="P14" s="80"/>
      <c r="Q14" s="80"/>
      <c r="R14" s="80"/>
      <c r="S14" s="80"/>
      <c r="T14" s="80"/>
      <c r="U14" s="81"/>
      <c r="W14" s="79"/>
      <c r="X14" s="80"/>
      <c r="Y14" s="80"/>
      <c r="Z14" s="80"/>
      <c r="AA14" s="80"/>
      <c r="AB14" s="80"/>
      <c r="AC14" s="81"/>
      <c r="AE14" s="167"/>
    </row>
    <row r="15" spans="1:31" ht="15" customHeight="1">
      <c r="A15" s="79"/>
      <c r="B15" s="80"/>
      <c r="C15" s="80"/>
      <c r="D15" s="80"/>
      <c r="E15" s="80"/>
      <c r="F15" s="81"/>
      <c r="H15" s="79"/>
      <c r="I15" s="80"/>
      <c r="J15" s="80"/>
      <c r="K15" s="80"/>
      <c r="L15" s="80"/>
      <c r="M15" s="81"/>
      <c r="N15" s="182"/>
      <c r="O15" s="79"/>
      <c r="P15" s="80"/>
      <c r="Q15" s="80"/>
      <c r="R15" s="80"/>
      <c r="S15" s="80"/>
      <c r="T15" s="80"/>
      <c r="U15" s="81"/>
      <c r="W15" s="79"/>
      <c r="X15" s="80"/>
      <c r="Y15" s="80"/>
      <c r="Z15" s="80"/>
      <c r="AA15" s="80"/>
      <c r="AB15" s="80"/>
      <c r="AC15" s="81"/>
      <c r="AE15" s="167"/>
    </row>
    <row r="16" spans="1:31" ht="15" customHeight="1">
      <c r="A16" s="79"/>
      <c r="B16" s="80"/>
      <c r="C16" s="80"/>
      <c r="D16" s="80"/>
      <c r="E16" s="80"/>
      <c r="F16" s="181"/>
      <c r="H16" s="79"/>
      <c r="I16" s="80"/>
      <c r="J16" s="80"/>
      <c r="K16" s="80"/>
      <c r="L16" s="80"/>
      <c r="M16" s="181"/>
      <c r="N16" s="183"/>
      <c r="O16" s="79"/>
      <c r="P16" s="80"/>
      <c r="Q16" s="80"/>
      <c r="R16" s="80"/>
      <c r="S16" s="80"/>
      <c r="T16" s="82"/>
      <c r="U16" s="81"/>
      <c r="W16" s="79"/>
      <c r="X16" s="80"/>
      <c r="Y16" s="80"/>
      <c r="Z16" s="80"/>
      <c r="AA16" s="80"/>
      <c r="AB16" s="82"/>
      <c r="AC16" s="81"/>
      <c r="AE16" s="167"/>
    </row>
    <row r="17" spans="1:31" ht="15" customHeight="1">
      <c r="A17" s="79"/>
      <c r="B17" s="80"/>
      <c r="C17" s="80"/>
      <c r="D17" s="80"/>
      <c r="E17" s="80"/>
      <c r="F17" s="81"/>
      <c r="H17" s="79"/>
      <c r="I17" s="80"/>
      <c r="J17" s="80"/>
      <c r="K17" s="80"/>
      <c r="L17" s="80"/>
      <c r="M17" s="81"/>
      <c r="N17" s="182"/>
      <c r="O17" s="79"/>
      <c r="P17" s="80"/>
      <c r="Q17" s="80"/>
      <c r="R17" s="80"/>
      <c r="S17" s="80"/>
      <c r="T17" s="80"/>
      <c r="U17" s="81"/>
      <c r="W17" s="79"/>
      <c r="X17" s="80"/>
      <c r="Y17" s="80"/>
      <c r="Z17" s="80"/>
      <c r="AA17" s="80"/>
      <c r="AB17" s="80"/>
      <c r="AC17" s="81"/>
      <c r="AE17" s="167"/>
    </row>
    <row r="18" spans="1:31" ht="15" customHeight="1">
      <c r="A18" s="79"/>
      <c r="B18" s="80"/>
      <c r="C18" s="80"/>
      <c r="D18" s="80"/>
      <c r="E18" s="80"/>
      <c r="F18" s="81"/>
      <c r="H18" s="79"/>
      <c r="I18" s="80"/>
      <c r="J18" s="80"/>
      <c r="K18" s="80"/>
      <c r="L18" s="80"/>
      <c r="M18" s="81"/>
      <c r="N18" s="182"/>
      <c r="O18" s="79"/>
      <c r="P18" s="80"/>
      <c r="Q18" s="80"/>
      <c r="R18" s="80"/>
      <c r="S18" s="80"/>
      <c r="T18" s="80"/>
      <c r="U18" s="81"/>
      <c r="W18" s="79"/>
      <c r="X18" s="80"/>
      <c r="Y18" s="80"/>
      <c r="Z18" s="80"/>
      <c r="AA18" s="80"/>
      <c r="AB18" s="80"/>
      <c r="AC18" s="81"/>
      <c r="AE18" s="167"/>
    </row>
    <row r="19" spans="1:31" ht="15" customHeight="1">
      <c r="A19" s="79"/>
      <c r="B19" s="80"/>
      <c r="C19" s="80"/>
      <c r="D19" s="80"/>
      <c r="E19" s="80"/>
      <c r="F19" s="81"/>
      <c r="H19" s="79"/>
      <c r="I19" s="80"/>
      <c r="J19" s="80"/>
      <c r="K19" s="80"/>
      <c r="L19" s="80"/>
      <c r="M19" s="81"/>
      <c r="N19" s="182"/>
      <c r="O19" s="79"/>
      <c r="P19" s="80"/>
      <c r="Q19" s="80"/>
      <c r="R19" s="80"/>
      <c r="S19" s="80"/>
      <c r="T19" s="80"/>
      <c r="U19" s="81"/>
      <c r="W19" s="79"/>
      <c r="X19" s="80"/>
      <c r="Y19" s="80"/>
      <c r="Z19" s="80"/>
      <c r="AA19" s="80"/>
      <c r="AB19" s="80"/>
      <c r="AC19" s="81"/>
      <c r="AE19" s="167"/>
    </row>
    <row r="20" spans="1:31" ht="15" customHeight="1">
      <c r="A20" s="79"/>
      <c r="B20" s="80"/>
      <c r="C20" s="80"/>
      <c r="D20" s="80"/>
      <c r="E20" s="80"/>
      <c r="F20" s="81"/>
      <c r="H20" s="79"/>
      <c r="I20" s="80"/>
      <c r="J20" s="80"/>
      <c r="K20" s="80"/>
      <c r="L20" s="80"/>
      <c r="M20" s="81"/>
      <c r="N20" s="182"/>
      <c r="O20" s="79"/>
      <c r="P20" s="80"/>
      <c r="Q20" s="80"/>
      <c r="R20" s="80"/>
      <c r="S20" s="80"/>
      <c r="T20" s="80"/>
      <c r="U20" s="81"/>
      <c r="W20" s="79"/>
      <c r="X20" s="80"/>
      <c r="Y20" s="80"/>
      <c r="Z20" s="80"/>
      <c r="AA20" s="80"/>
      <c r="AB20" s="80"/>
      <c r="AC20" s="81"/>
      <c r="AE20" s="167"/>
    </row>
    <row r="21" spans="1:31" ht="15" customHeight="1">
      <c r="A21" s="79"/>
      <c r="B21" s="80"/>
      <c r="C21" s="80"/>
      <c r="D21" s="80"/>
      <c r="E21" s="80"/>
      <c r="F21" s="81"/>
      <c r="H21" s="79"/>
      <c r="I21" s="80"/>
      <c r="J21" s="80"/>
      <c r="K21" s="80"/>
      <c r="L21" s="80"/>
      <c r="M21" s="81"/>
      <c r="N21" s="182"/>
      <c r="O21" s="79"/>
      <c r="P21" s="80"/>
      <c r="Q21" s="80"/>
      <c r="R21" s="80"/>
      <c r="S21" s="80"/>
      <c r="T21" s="80"/>
      <c r="U21" s="81"/>
      <c r="W21" s="79"/>
      <c r="X21" s="80"/>
      <c r="Y21" s="80"/>
      <c r="Z21" s="80"/>
      <c r="AA21" s="80"/>
      <c r="AB21" s="80"/>
      <c r="AC21" s="81"/>
      <c r="AE21" s="167"/>
    </row>
    <row r="22" spans="1:31" ht="15" customHeight="1">
      <c r="A22" s="79"/>
      <c r="B22" s="80"/>
      <c r="C22" s="80"/>
      <c r="D22" s="80"/>
      <c r="E22" s="80"/>
      <c r="F22" s="81"/>
      <c r="H22" s="79"/>
      <c r="I22" s="80"/>
      <c r="J22" s="80"/>
      <c r="K22" s="80"/>
      <c r="L22" s="80"/>
      <c r="M22" s="81"/>
      <c r="N22" s="182"/>
      <c r="O22" s="79"/>
      <c r="P22" s="80"/>
      <c r="Q22" s="80"/>
      <c r="R22" s="80"/>
      <c r="S22" s="80"/>
      <c r="T22" s="80"/>
      <c r="U22" s="81"/>
      <c r="W22" s="79"/>
      <c r="X22" s="80"/>
      <c r="Y22" s="80"/>
      <c r="Z22" s="80"/>
      <c r="AA22" s="80"/>
      <c r="AB22" s="80"/>
      <c r="AC22" s="81"/>
      <c r="AE22" s="167"/>
    </row>
    <row r="23" spans="1:31" ht="15" customHeight="1">
      <c r="A23" s="79"/>
      <c r="B23" s="80"/>
      <c r="C23" s="80"/>
      <c r="D23" s="80"/>
      <c r="E23" s="80"/>
      <c r="F23" s="81"/>
      <c r="H23" s="79"/>
      <c r="I23" s="80"/>
      <c r="J23" s="80"/>
      <c r="K23" s="80"/>
      <c r="L23" s="80"/>
      <c r="M23" s="81"/>
      <c r="N23" s="182"/>
      <c r="O23" s="79"/>
      <c r="P23" s="80"/>
      <c r="Q23" s="80"/>
      <c r="R23" s="80"/>
      <c r="S23" s="80"/>
      <c r="T23" s="80"/>
      <c r="U23" s="81"/>
      <c r="W23" s="79"/>
      <c r="X23" s="80"/>
      <c r="Y23" s="80"/>
      <c r="Z23" s="80"/>
      <c r="AA23" s="80"/>
      <c r="AB23" s="80"/>
      <c r="AC23" s="81"/>
      <c r="AE23" s="167"/>
    </row>
    <row r="24" spans="1:31" ht="15" customHeight="1">
      <c r="A24" s="79"/>
      <c r="B24" s="80"/>
      <c r="C24" s="80"/>
      <c r="D24" s="80"/>
      <c r="E24" s="80"/>
      <c r="F24" s="81"/>
      <c r="H24" s="79"/>
      <c r="I24" s="80"/>
      <c r="J24" s="80"/>
      <c r="K24" s="80"/>
      <c r="L24" s="80"/>
      <c r="M24" s="81"/>
      <c r="N24" s="182"/>
      <c r="O24" s="79"/>
      <c r="P24" s="80"/>
      <c r="Q24" s="80"/>
      <c r="R24" s="80"/>
      <c r="S24" s="80"/>
      <c r="T24" s="80"/>
      <c r="U24" s="81"/>
      <c r="W24" s="79"/>
      <c r="X24" s="80"/>
      <c r="Y24" s="80"/>
      <c r="Z24" s="80"/>
      <c r="AA24" s="80"/>
      <c r="AB24" s="80"/>
      <c r="AC24" s="81"/>
      <c r="AE24" s="167"/>
    </row>
    <row r="25" spans="1:31" ht="15" customHeight="1">
      <c r="A25" s="79"/>
      <c r="B25" s="80"/>
      <c r="C25" s="80"/>
      <c r="D25" s="80"/>
      <c r="E25" s="80"/>
      <c r="F25" s="81"/>
      <c r="H25" s="79"/>
      <c r="I25" s="80"/>
      <c r="J25" s="80"/>
      <c r="K25" s="80"/>
      <c r="L25" s="80"/>
      <c r="M25" s="81"/>
      <c r="N25" s="182"/>
      <c r="O25" s="79"/>
      <c r="P25" s="80"/>
      <c r="Q25" s="80"/>
      <c r="R25" s="80"/>
      <c r="S25" s="80"/>
      <c r="T25" s="80"/>
      <c r="U25" s="81"/>
      <c r="W25" s="79"/>
      <c r="X25" s="80"/>
      <c r="Y25" s="80"/>
      <c r="Z25" s="80"/>
      <c r="AA25" s="80"/>
      <c r="AB25" s="80"/>
      <c r="AC25" s="81"/>
      <c r="AE25" s="167"/>
    </row>
    <row r="26" spans="1:31" ht="15" customHeight="1">
      <c r="A26" s="79"/>
      <c r="B26" s="80"/>
      <c r="C26" s="80"/>
      <c r="D26" s="80"/>
      <c r="E26" s="80"/>
      <c r="F26" s="81"/>
      <c r="H26" s="79"/>
      <c r="I26" s="80"/>
      <c r="J26" s="80"/>
      <c r="K26" s="80"/>
      <c r="L26" s="80"/>
      <c r="M26" s="81"/>
      <c r="N26" s="182"/>
      <c r="O26" s="79"/>
      <c r="P26" s="80"/>
      <c r="Q26" s="80"/>
      <c r="R26" s="80"/>
      <c r="S26" s="80"/>
      <c r="T26" s="80"/>
      <c r="U26" s="81"/>
      <c r="W26" s="79"/>
      <c r="X26" s="80"/>
      <c r="Y26" s="80"/>
      <c r="Z26" s="80"/>
      <c r="AA26" s="80"/>
      <c r="AB26" s="80"/>
      <c r="AC26" s="81"/>
      <c r="AE26" s="167"/>
    </row>
    <row r="27" spans="1:31" ht="15" customHeight="1">
      <c r="A27" s="79"/>
      <c r="B27" s="80"/>
      <c r="C27" s="80"/>
      <c r="D27" s="80"/>
      <c r="E27" s="80"/>
      <c r="F27" s="81"/>
      <c r="H27" s="79"/>
      <c r="I27" s="80"/>
      <c r="J27" s="80"/>
      <c r="K27" s="80"/>
      <c r="L27" s="80"/>
      <c r="M27" s="81"/>
      <c r="N27" s="182"/>
      <c r="O27" s="79"/>
      <c r="P27" s="80"/>
      <c r="Q27" s="80"/>
      <c r="R27" s="80"/>
      <c r="S27" s="80"/>
      <c r="T27" s="80"/>
      <c r="U27" s="81"/>
      <c r="W27" s="79"/>
      <c r="X27" s="80"/>
      <c r="Y27" s="80"/>
      <c r="Z27" s="80"/>
      <c r="AA27" s="80"/>
      <c r="AB27" s="80"/>
      <c r="AC27" s="81"/>
      <c r="AE27" s="167"/>
    </row>
    <row r="28" spans="1:31" ht="13.5">
      <c r="A28" s="79"/>
      <c r="B28" s="80"/>
      <c r="C28" s="80"/>
      <c r="D28" s="80"/>
      <c r="E28" s="80"/>
      <c r="F28" s="81"/>
      <c r="H28" s="79"/>
      <c r="I28" s="80"/>
      <c r="J28" s="80"/>
      <c r="K28" s="80"/>
      <c r="L28" s="80"/>
      <c r="M28" s="81"/>
      <c r="N28" s="182"/>
      <c r="O28" s="79"/>
      <c r="P28" s="80"/>
      <c r="Q28" s="80"/>
      <c r="R28" s="80"/>
      <c r="S28" s="80"/>
      <c r="T28" s="80"/>
      <c r="U28" s="81"/>
      <c r="W28" s="79"/>
      <c r="X28" s="80"/>
      <c r="Y28" s="80"/>
      <c r="Z28" s="80"/>
      <c r="AA28" s="80"/>
      <c r="AB28" s="80"/>
      <c r="AC28" s="81"/>
      <c r="AE28" s="167"/>
    </row>
    <row r="29" spans="1:31" ht="13.5">
      <c r="A29" s="79"/>
      <c r="B29" s="80"/>
      <c r="C29" s="80"/>
      <c r="D29" s="80"/>
      <c r="E29" s="80"/>
      <c r="F29" s="81"/>
      <c r="H29" s="79"/>
      <c r="I29" s="80"/>
      <c r="J29" s="80"/>
      <c r="K29" s="80"/>
      <c r="L29" s="80"/>
      <c r="M29" s="81"/>
      <c r="N29" s="182"/>
      <c r="O29" s="79"/>
      <c r="P29" s="80"/>
      <c r="Q29" s="80"/>
      <c r="R29" s="80"/>
      <c r="S29" s="80"/>
      <c r="T29" s="80"/>
      <c r="U29" s="81"/>
      <c r="W29" s="79"/>
      <c r="X29" s="80"/>
      <c r="Y29" s="80"/>
      <c r="Z29" s="80"/>
      <c r="AA29" s="80"/>
      <c r="AB29" s="80"/>
      <c r="AC29" s="81"/>
      <c r="AE29" s="167"/>
    </row>
    <row r="30" spans="1:31" ht="13.5">
      <c r="A30" s="79"/>
      <c r="B30" s="80"/>
      <c r="C30" s="80"/>
      <c r="D30" s="80"/>
      <c r="E30" s="80"/>
      <c r="F30" s="81"/>
      <c r="H30" s="79"/>
      <c r="I30" s="80"/>
      <c r="J30" s="80"/>
      <c r="K30" s="80"/>
      <c r="L30" s="80"/>
      <c r="M30" s="81"/>
      <c r="N30" s="182"/>
      <c r="O30" s="79"/>
      <c r="P30" s="80"/>
      <c r="Q30" s="80"/>
      <c r="R30" s="80"/>
      <c r="S30" s="80"/>
      <c r="T30" s="80"/>
      <c r="U30" s="81"/>
      <c r="W30" s="79"/>
      <c r="X30" s="80"/>
      <c r="Y30" s="80"/>
      <c r="Z30" s="80"/>
      <c r="AA30" s="80"/>
      <c r="AB30" s="80"/>
      <c r="AC30" s="81"/>
      <c r="AE30" s="167"/>
    </row>
    <row r="31" spans="1:31" ht="13.5" customHeight="1">
      <c r="A31" s="79"/>
      <c r="B31" s="80"/>
      <c r="C31" s="80"/>
      <c r="D31" s="80"/>
      <c r="E31" s="80"/>
      <c r="F31" s="81"/>
      <c r="H31" s="79"/>
      <c r="I31" s="80"/>
      <c r="J31" s="80"/>
      <c r="K31" s="80"/>
      <c r="L31" s="80"/>
      <c r="M31" s="81"/>
      <c r="N31" s="182"/>
      <c r="O31" s="79"/>
      <c r="P31" s="80"/>
      <c r="Q31" s="80"/>
      <c r="R31" s="80"/>
      <c r="S31" s="80"/>
      <c r="T31" s="80"/>
      <c r="U31" s="81"/>
      <c r="W31" s="79"/>
      <c r="X31" s="80"/>
      <c r="Y31" s="80"/>
      <c r="Z31" s="80"/>
      <c r="AA31" s="80"/>
      <c r="AB31" s="80"/>
      <c r="AC31" s="81"/>
      <c r="AE31" s="167"/>
    </row>
    <row r="32" spans="1:31" ht="13.5" customHeight="1">
      <c r="A32" s="79"/>
      <c r="B32" s="80"/>
      <c r="C32" s="80"/>
      <c r="D32" s="80"/>
      <c r="E32" s="80"/>
      <c r="F32" s="81"/>
      <c r="H32" s="79"/>
      <c r="I32" s="80"/>
      <c r="J32" s="80"/>
      <c r="K32" s="80"/>
      <c r="L32" s="80"/>
      <c r="M32" s="81"/>
      <c r="N32" s="182"/>
      <c r="O32" s="79"/>
      <c r="P32" s="80"/>
      <c r="Q32" s="80"/>
      <c r="R32" s="80"/>
      <c r="S32" s="80"/>
      <c r="T32" s="80"/>
      <c r="U32" s="81"/>
      <c r="W32" s="79"/>
      <c r="X32" s="80"/>
      <c r="Y32" s="80"/>
      <c r="Z32" s="80"/>
      <c r="AA32" s="80"/>
      <c r="AB32" s="80"/>
      <c r="AC32" s="81"/>
      <c r="AE32" s="167"/>
    </row>
    <row r="33" spans="1:31" ht="13.5" customHeight="1">
      <c r="A33" s="83"/>
      <c r="B33" s="84"/>
      <c r="C33" s="84"/>
      <c r="D33" s="84"/>
      <c r="E33" s="84"/>
      <c r="F33" s="85"/>
      <c r="H33" s="83"/>
      <c r="I33" s="84"/>
      <c r="J33" s="84"/>
      <c r="K33" s="84"/>
      <c r="L33" s="84"/>
      <c r="M33" s="85"/>
      <c r="N33" s="182"/>
      <c r="O33" s="83"/>
      <c r="P33" s="84"/>
      <c r="Q33" s="84"/>
      <c r="R33" s="84"/>
      <c r="S33" s="84"/>
      <c r="T33" s="84"/>
      <c r="U33" s="85"/>
      <c r="W33" s="83"/>
      <c r="X33" s="84"/>
      <c r="Y33" s="84"/>
      <c r="Z33" s="84"/>
      <c r="AA33" s="84"/>
      <c r="AB33" s="84"/>
      <c r="AC33" s="85"/>
      <c r="AE33" s="167"/>
    </row>
    <row r="34" ht="13.5" customHeight="1">
      <c r="N34" s="182"/>
    </row>
    <row r="35" ht="13.5" customHeight="1">
      <c r="N35" s="182"/>
    </row>
    <row r="36" ht="13.5" customHeight="1">
      <c r="N36" s="169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4">
    <mergeCell ref="O1:U1"/>
    <mergeCell ref="W1:AC1"/>
    <mergeCell ref="A1:F1"/>
    <mergeCell ref="H1:M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hiroyasu-kano</dc:creator>
  <cp:keywords/>
  <dc:description/>
  <cp:lastModifiedBy>吉村　大介</cp:lastModifiedBy>
  <cp:lastPrinted>2020-03-27T03:11:22Z</cp:lastPrinted>
  <dcterms:created xsi:type="dcterms:W3CDTF">2010-02-23T06:14:49Z</dcterms:created>
  <dcterms:modified xsi:type="dcterms:W3CDTF">2020-10-30T01:10:02Z</dcterms:modified>
  <cp:category/>
  <cp:version/>
  <cp:contentType/>
  <cp:contentStatus/>
</cp:coreProperties>
</file>